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P:\Construction Durable Economie Circulaire\Expert Groups\CE Coordination\CE Communication\CE Briefing Luxembourg\"/>
    </mc:Choice>
  </mc:AlternateContent>
  <xr:revisionPtr revIDLastSave="0" documentId="13_ncr:1_{E58DD14E-F3BB-406D-986E-D2D50103DC36}" xr6:coauthVersionLast="47" xr6:coauthVersionMax="47" xr10:uidLastSave="{00000000-0000-0000-0000-000000000000}"/>
  <bookViews>
    <workbookView xWindow="28680" yWindow="-120" windowWidth="29040" windowHeight="15840" xr2:uid="{00000000-000D-0000-FFFF-FFFF00000000}"/>
  </bookViews>
  <sheets>
    <sheet name="All Stories" sheetId="1" r:id="rId1"/>
  </sheets>
  <definedNames>
    <definedName name="_xlnm._FilterDatabase" localSheetId="0" hidden="1">'All Stories'!$A$1:$I$507</definedName>
    <definedName name="_xlnm.Print_Area" localSheetId="0">'All Stories'!$A$1:$H$507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2" i="1" l="1"/>
  <c r="E221" i="1"/>
  <c r="E220" i="1"/>
  <c r="F219" i="1"/>
  <c r="E219" i="1"/>
  <c r="E218" i="1"/>
  <c r="E217" i="1"/>
  <c r="F216" i="1"/>
  <c r="E216" i="1"/>
  <c r="F215" i="1"/>
  <c r="E215" i="1"/>
  <c r="E214" i="1"/>
  <c r="E213" i="1"/>
  <c r="E212" i="1"/>
  <c r="E211" i="1"/>
  <c r="F210" i="1"/>
  <c r="E210" i="1"/>
  <c r="G209" i="1"/>
  <c r="F209" i="1"/>
  <c r="E209" i="1"/>
  <c r="F208" i="1"/>
  <c r="E208" i="1"/>
  <c r="E207" i="1"/>
  <c r="E206" i="1"/>
  <c r="E205" i="1"/>
  <c r="H204" i="1"/>
  <c r="G204" i="1"/>
  <c r="F204" i="1"/>
  <c r="E204" i="1"/>
  <c r="E203" i="1"/>
  <c r="E202" i="1"/>
  <c r="E201" i="1"/>
  <c r="F200" i="1"/>
  <c r="E200" i="1"/>
  <c r="F199" i="1"/>
  <c r="E199" i="1"/>
  <c r="H198" i="1"/>
  <c r="G198" i="1"/>
  <c r="F198" i="1"/>
  <c r="E198" i="1"/>
  <c r="G197" i="1"/>
  <c r="F197" i="1"/>
  <c r="E197" i="1"/>
  <c r="F196" i="1"/>
  <c r="E196" i="1"/>
  <c r="E195" i="1"/>
  <c r="E194" i="1"/>
  <c r="E193" i="1"/>
  <c r="E192" i="1"/>
  <c r="E191" i="1"/>
  <c r="E190" i="1"/>
  <c r="E189" i="1"/>
  <c r="E188" i="1"/>
  <c r="E187" i="1"/>
  <c r="E186" i="1"/>
  <c r="E185" i="1"/>
  <c r="F184" i="1"/>
  <c r="E184" i="1"/>
  <c r="E183" i="1"/>
  <c r="E182" i="1"/>
  <c r="F181" i="1"/>
  <c r="E181" i="1"/>
  <c r="F180" i="1"/>
  <c r="E180" i="1"/>
  <c r="E179" i="1"/>
  <c r="E178" i="1"/>
  <c r="F177" i="1"/>
  <c r="E177" i="1"/>
  <c r="E176" i="1"/>
  <c r="F175" i="1"/>
  <c r="E175" i="1"/>
  <c r="F174" i="1"/>
  <c r="E174" i="1"/>
  <c r="E173" i="1"/>
  <c r="F172" i="1"/>
  <c r="E172" i="1"/>
  <c r="F171" i="1"/>
  <c r="E171" i="1"/>
  <c r="E170" i="1"/>
  <c r="E169" i="1"/>
  <c r="F168" i="1"/>
  <c r="E168" i="1"/>
  <c r="E167" i="1"/>
  <c r="E166" i="1"/>
  <c r="E165" i="1"/>
  <c r="E164" i="1"/>
  <c r="E163" i="1"/>
  <c r="F162" i="1"/>
  <c r="E162" i="1"/>
  <c r="F161" i="1"/>
  <c r="E161" i="1"/>
  <c r="E160" i="1"/>
  <c r="E159" i="1"/>
  <c r="E158" i="1"/>
  <c r="F157" i="1"/>
  <c r="E157" i="1"/>
  <c r="G156" i="1"/>
  <c r="F156" i="1"/>
  <c r="E156" i="1"/>
  <c r="F155" i="1"/>
  <c r="E155" i="1"/>
  <c r="F154" i="1"/>
  <c r="E154" i="1"/>
  <c r="E153" i="1"/>
  <c r="G152" i="1"/>
  <c r="F152" i="1"/>
  <c r="E152" i="1"/>
  <c r="E151" i="1"/>
  <c r="E150" i="1"/>
  <c r="E149" i="1"/>
  <c r="F148" i="1"/>
  <c r="E148" i="1"/>
  <c r="F147" i="1"/>
  <c r="E147" i="1"/>
  <c r="F146" i="1"/>
  <c r="E146" i="1"/>
  <c r="F145" i="1"/>
  <c r="E145" i="1"/>
  <c r="E144" i="1"/>
  <c r="E143" i="1"/>
  <c r="E142" i="1"/>
  <c r="E141" i="1"/>
  <c r="E140" i="1"/>
  <c r="E139" i="1"/>
  <c r="E138" i="1"/>
  <c r="F137" i="1"/>
  <c r="E137" i="1"/>
  <c r="E136" i="1"/>
  <c r="E135" i="1"/>
  <c r="E134" i="1"/>
  <c r="E133" i="1"/>
  <c r="F132" i="1"/>
  <c r="E132" i="1"/>
  <c r="F131" i="1"/>
  <c r="E131" i="1"/>
  <c r="E130" i="1"/>
  <c r="F129" i="1"/>
  <c r="E129" i="1"/>
  <c r="E128" i="1"/>
  <c r="E127" i="1"/>
  <c r="G126" i="1"/>
  <c r="F126" i="1"/>
  <c r="E126" i="1"/>
  <c r="E125" i="1"/>
  <c r="E124" i="1"/>
  <c r="E123" i="1"/>
  <c r="E122" i="1"/>
  <c r="E121" i="1"/>
  <c r="E120" i="1"/>
  <c r="E119" i="1"/>
  <c r="E118" i="1"/>
  <c r="E117" i="1"/>
  <c r="F116" i="1"/>
  <c r="E116" i="1"/>
  <c r="E115" i="1"/>
  <c r="E114" i="1"/>
  <c r="E113" i="1"/>
  <c r="E112" i="1"/>
  <c r="E111" i="1"/>
  <c r="F110" i="1"/>
  <c r="E110" i="1"/>
  <c r="F109" i="1"/>
  <c r="E109" i="1"/>
  <c r="E108" i="1"/>
  <c r="F107" i="1"/>
  <c r="E107" i="1"/>
  <c r="F106" i="1"/>
  <c r="E106" i="1"/>
  <c r="G105" i="1"/>
  <c r="F105" i="1"/>
  <c r="E105" i="1"/>
  <c r="E104" i="1"/>
  <c r="E103" i="1"/>
  <c r="E102" i="1"/>
  <c r="F101" i="1"/>
  <c r="E101" i="1"/>
  <c r="F100" i="1"/>
  <c r="E100" i="1"/>
  <c r="E99" i="1"/>
  <c r="E98" i="1"/>
  <c r="F97" i="1"/>
  <c r="E97" i="1"/>
  <c r="E96" i="1"/>
  <c r="F95" i="1"/>
  <c r="E95" i="1"/>
  <c r="F94" i="1"/>
  <c r="E94" i="1"/>
  <c r="E93" i="1"/>
  <c r="F92" i="1"/>
  <c r="E92" i="1"/>
  <c r="H91" i="1"/>
  <c r="G91" i="1"/>
  <c r="F91" i="1"/>
  <c r="E91" i="1"/>
  <c r="E90" i="1"/>
  <c r="G89" i="1"/>
  <c r="F89" i="1"/>
  <c r="E89" i="1"/>
  <c r="F88" i="1"/>
  <c r="E88" i="1"/>
  <c r="E87" i="1"/>
  <c r="G86" i="1"/>
  <c r="F86" i="1"/>
  <c r="E86" i="1"/>
  <c r="F85" i="1"/>
  <c r="E85" i="1"/>
  <c r="H84" i="1"/>
  <c r="G84" i="1"/>
  <c r="F84" i="1"/>
  <c r="E84" i="1"/>
  <c r="E83" i="1"/>
  <c r="E82" i="1"/>
  <c r="E81" i="1"/>
  <c r="E80" i="1"/>
  <c r="E79" i="1"/>
  <c r="E78" i="1"/>
  <c r="E77" i="1"/>
  <c r="F76" i="1"/>
  <c r="E76" i="1"/>
  <c r="F75" i="1"/>
  <c r="E75" i="1"/>
  <c r="E74" i="1"/>
  <c r="E73" i="1"/>
  <c r="E72" i="1"/>
  <c r="E71" i="1"/>
  <c r="E70" i="1"/>
  <c r="E69" i="1"/>
  <c r="F68" i="1"/>
  <c r="E68" i="1"/>
  <c r="E67" i="1"/>
  <c r="E66" i="1"/>
  <c r="F65" i="1"/>
  <c r="E65" i="1"/>
  <c r="F64" i="1"/>
  <c r="E64" i="1"/>
  <c r="F63" i="1"/>
  <c r="E63" i="1"/>
  <c r="E62" i="1"/>
  <c r="E61" i="1"/>
  <c r="E60" i="1"/>
  <c r="F59" i="1"/>
  <c r="E59" i="1"/>
  <c r="E58" i="1"/>
  <c r="F57" i="1"/>
  <c r="E57" i="1"/>
  <c r="F56" i="1"/>
  <c r="E56" i="1"/>
  <c r="E55" i="1"/>
  <c r="F54" i="1"/>
  <c r="E54" i="1"/>
  <c r="E53" i="1"/>
  <c r="E52" i="1"/>
  <c r="F51" i="1"/>
  <c r="E51" i="1"/>
  <c r="F50" i="1"/>
  <c r="E50" i="1"/>
  <c r="E49" i="1"/>
  <c r="E48" i="1"/>
  <c r="F47" i="1"/>
  <c r="E47" i="1"/>
  <c r="F46" i="1"/>
  <c r="E46" i="1"/>
  <c r="E45" i="1"/>
  <c r="F44" i="1"/>
  <c r="E44" i="1"/>
  <c r="F43" i="1"/>
  <c r="E43" i="1"/>
  <c r="E42" i="1"/>
  <c r="F41" i="1"/>
  <c r="E41" i="1"/>
  <c r="F40" i="1"/>
  <c r="E40" i="1"/>
  <c r="E39" i="1"/>
  <c r="E38" i="1"/>
  <c r="E37" i="1"/>
  <c r="E36" i="1"/>
  <c r="E35" i="1"/>
  <c r="E34" i="1"/>
  <c r="E33" i="1"/>
  <c r="F32" i="1"/>
  <c r="E32" i="1"/>
  <c r="E31" i="1"/>
  <c r="E30" i="1"/>
  <c r="E29" i="1"/>
  <c r="E28" i="1"/>
  <c r="E27" i="1"/>
  <c r="E26" i="1"/>
  <c r="F25" i="1"/>
  <c r="E25" i="1"/>
  <c r="F24" i="1"/>
  <c r="E24" i="1"/>
  <c r="F23" i="1"/>
  <c r="E23" i="1"/>
  <c r="F22" i="1"/>
  <c r="E22" i="1"/>
  <c r="E21" i="1"/>
  <c r="F20" i="1"/>
  <c r="E20" i="1"/>
  <c r="E19" i="1"/>
  <c r="F18" i="1"/>
  <c r="E18" i="1"/>
  <c r="F17" i="1"/>
  <c r="E17" i="1"/>
  <c r="E16" i="1"/>
  <c r="F15" i="1"/>
  <c r="E15" i="1"/>
  <c r="F14" i="1"/>
  <c r="E14" i="1"/>
  <c r="F13" i="1"/>
  <c r="E13" i="1"/>
  <c r="E12" i="1"/>
  <c r="E11" i="1"/>
  <c r="G10" i="1"/>
  <c r="F10" i="1"/>
  <c r="E10" i="1"/>
  <c r="E9" i="1"/>
  <c r="E8" i="1"/>
  <c r="F7" i="1"/>
  <c r="E7" i="1"/>
  <c r="F6" i="1"/>
  <c r="E6" i="1"/>
  <c r="E5" i="1"/>
  <c r="F4" i="1"/>
  <c r="E4" i="1"/>
  <c r="F3" i="1"/>
  <c r="E3" i="1"/>
  <c r="E2" i="1"/>
</calcChain>
</file>

<file path=xl/sharedStrings.xml><?xml version="1.0" encoding="utf-8"?>
<sst xmlns="http://schemas.openxmlformats.org/spreadsheetml/2006/main" count="1944" uniqueCount="1444">
  <si>
    <t>Edition</t>
  </si>
  <si>
    <t>Topic</t>
  </si>
  <si>
    <t>Title</t>
  </si>
  <si>
    <t>Summary</t>
  </si>
  <si>
    <t>Sources</t>
  </si>
  <si>
    <t>Circular Solutions &amp; Business Models</t>
  </si>
  <si>
    <t>Bruxelles Environnement develops tools for reversible building design</t>
  </si>
  <si>
    <t>Bruxelles Environnement, the Environment and Energy Administration of the Brussels-Capital Region, has developed a checklist and guide for reversible and circular building design, targeting public project owners and professionals involved in building design, real estate development, and property promotion. These practical tools, part of the European innovation project BAMB, are freely available for download. Ongoing discussions aim to integrate spatial reversibility ambitions into regional urban planning regulations. The tools offer support throughout the project, from initial conception to implementation, encompassing spatial and technical strategies for reversible design.</t>
  </si>
  <si>
    <t>FCRBE project lays groundwork for reuse practices in north-west Europe</t>
  </si>
  <si>
    <t>The Facilitating the Circulation of Reclaimed Building Elements project has concluded, paving the way for a 50% increase by 2032 in the number of recoverable construction elements in circulation in north-west Europe, a region where until recently only 1% of building materials were reused. The project, led by the Brussels-based association Rotor with 11 partners from five countries including the Luxembourg Institute of Science and Technology (LIST), Bruxelles Environnement, Buildwise, Embuild, TUDelft, CSTB, Bellastock and the University of Brighton, created a roadmap to promote reuse practices in the construction sector and a recovery toolbox. Key outcomes include a reclamation audit method, a guidebook on procurement strategies, a collection of material sheets, practical guides for contractors, a method to set, measure and report on reuse objectives, insurance guidelines for reused building materials, and a comprehensive directory of professional reclamation and salvage dealers in north-west Europe. The project has also developed resources to address questions about reusing building materials and introduced the Truly Reclaimed label to verify the authenticity of reclaimed products.</t>
  </si>
  <si>
    <t>Reusable beverage packaging could eliminate trillions of single-use plastic items</t>
  </si>
  <si>
    <t>A 10-percentage-point increase in reusable beverage packaging by 2030 could take more than a trillion single-use plastic bottles and cups out of circulation and prevent 153 billion plastic containers from entering oceans and waterways, according to a report by ocean advocacy group Oceana. The report stresses the inadequacy of simply adding recycled content to bottles and cups, advocating instead for the replacement of single-use plastic with reusable packaging. Large-scale reusable packaging systems like TURN, r.World, and Re-uz are already operational in the US and EU.</t>
  </si>
  <si>
    <t>Shifting focus in construction sector towards reducing carbon emissions</t>
  </si>
  <si>
    <t>Efforts to reduce carbon emissions in the construction sector are shifting towards incorporating sobriety in building design and regulating the life cycle analysis of greenhouse gas emissions, says Lee Franck, CEO of LEEN. With Luxembourg preparing to regulate the GHG Life Cycle Assessment (LCA) in the coming years, the trend is changing as the industry now focuses on CO2 emissions from building materials, known as embodied carbon, which account for over 60% of total emissions in new buildings. While using low-emission materials like wood can help, the emphasis is on early-stage reduction opportunities and rethinking construction standards and contracts, Franck says, noting that it is also important to consider the philosophical aspect of sustainable building and take into account the cost of development of low-carbon materials - an additional challenge amid already elevated housing prices. LEEN works with clients and design teams to develop a range of strategies to explore how to build less, boost the reuse of existing material, use more effective structural form and optimise the quantities of materials.</t>
  </si>
  <si>
    <t>Innovation &amp; Technology</t>
  </si>
  <si>
    <t>European start-ups innovate circular solutions for hard-to-recycle items</t>
  </si>
  <si>
    <t>European start-ups are rapidly advancing the reuse of hard-to-recycle items, from clothes and mattresses to cigarette butts. Green Alley Award’s 2023 cohort showcased some of these pioneering innovations. Among 2023’s cohort are: Human Maple, which repurposes cigarette filters into insulating padding; S.Lab, which developed a biodegradable polystyrene alternative; and MATЯ, which produces 99% recyclable mattresses with a lower carbon footprint, exemplifying the circular economy's potential to transform waste into valuable resources. The Green Alley Award 2024, which offers a €25,000 prize, have now closed with a record number of 330 start-ups from 29 European countries applying to compete.</t>
  </si>
  <si>
    <t>UK government allocates £65m for heating network using waste heat from data centres</t>
  </si>
  <si>
    <t>The UK government has announced £65m in funding for five green heating projects, including a first-of-its-kind heat network in London that will utilise waste heat from data centres to heat thousands of homes. The project, supported by £36m in funding, aims to connect 10,000 new homes and 250,000m² of commercial space, complementing £122m in funding already awarded to support 11 new heat network projects across the country under the Green Heat Network Fund. Meanwhile, in Finland waste heat from a new Microsoft data centre complex will supply district heating for up to 100,000 residents in the Helsinki metropolitan area. Heat pumps will provide cooling to the data centres, recover the waste heat generated, and transfer the recovered energy into the local district heating network.</t>
  </si>
  <si>
    <t>Solarcells to produce Luxembourg's first domestic photovoltaic panels by year-end</t>
  </si>
  <si>
    <t>Solarcells Luxembourg, a joint venture between Luxembourg's Socom and Belgian producer Evocells, is on track to meet its goal of producing the first PV panels made in Luxembour by year-end. The factory will initially produce two ranges of panels, with plans to eventually produce up to 200,000 units by 2024. The company aims to ensure high-quality installations in the domestic market and has already sold most of its initial production. Solarcells also plans to implement circular practices, such as the use of custom wooden containers for shipping and reuse of these containers. The company aims to offer higher performance and stricter quality controls at a competitive price compared to Chinese products. The factory is expected to operate with an initial team of eight people, with plans to double the workforce as production ramps up.</t>
  </si>
  <si>
    <t>Bioeconomy &amp; Renewable Resources</t>
  </si>
  <si>
    <t>Biomodel4Regions initiative seeks regions to develop Europe's bio-based economy</t>
  </si>
  <si>
    <t>The European Circular Economy Stakeholder Platform, in collaboration with ICLEI Europe, seeks regions in Northern, Mediterranean, Eastern, or Central-Western Europe to develop their own bio-based economy strategy. The Biomodel4Regions project aims to foster innovation, guide strategic initiatives at regional and national levels, aligning with the Sustainable Development Goals. Selected regions will gain knowledge-sharing opportunities, access to a network of bio-based clusters, and hands-on experience in crafting sustainable bio-based economy strategies.</t>
  </si>
  <si>
    <t>Public Policy &amp; Regulation</t>
  </si>
  <si>
    <t>European Parliament adopts position on packaging waste legislation amid criticism</t>
  </si>
  <si>
    <t>The European Parliament has adopted its position on new EU-wide rules on packaging to reduce waste and set targets on reuse and waste prevention. The legislation aims to reduce overall packaging and plastic packaging by 10% by 2030, 15% by 2035, and 20% by 2040, including a proposed ban on very lightweight plastic carrier bags and restricting certain single-use packaging formats. However, the most stringent measures such as bans on unnecessary packaging and setting reuse targets were removed, leading environmental organisations to question how waste reduction targets will be achieved in practice. Plastics Europe called the vote a missed opportunity and accused members of the parliament of being influenced by lobbying. Negotiations with EU member states will now commence to finalise the law.</t>
  </si>
  <si>
    <t>EU proposes new recycling goals for permanent magnets in white goods and wind turbines</t>
  </si>
  <si>
    <t>The EU is advancing new legislation to improve the reuse and recycling of rare earths found in permanent magnets, used in wind turbines, electric vehicles and household appliances. The proposed Critical Raw Materials Act aims to enhance the EU's self-sufficiency in minerals essential for the green and digital transitions, introducing targets for extraction, processing and recycling of key raw materials to reduce reliance on imports. Automakers and wind turbine manufacturers have expressed concerns, while the European recycling industry is calling for a ban on metal exports from used electric car batteries. The EU also plans to introduce a 'product passport' to extend product lifetimes and improve recyclability.</t>
  </si>
  <si>
    <t>Funding &amp; Investment</t>
  </si>
  <si>
    <t>€120m available for circular economy research and innovation under Horizon Europe</t>
  </si>
  <si>
    <t>The European Circular Economy Stakeholder Platform, a joint initiative by the European Commission and the European Economic and Social Committee, has announced that Horizon Europe Cluster 6 is seeking proposals for research and innovation activities to promote the circular economy. The call for proposals will be open until February 2024, with €120m in grants available for projects focusing on safe, integrated circular solutions at regional and sectoral levels. The funding aims to accelerate the transition to a low-carbon, resource-efficient circular economy and sustainable bioeconomy.</t>
  </si>
  <si>
    <t>Outreach &amp; Training</t>
  </si>
  <si>
    <t>Terra Matters launches website to promote circular traceability</t>
  </si>
  <si>
    <t>Terra Matters, an economic interest group (GIE) created by the Ministry of the Economy and the Luxembourg Chamber of Commerce in December 2022, has launched its website terramatters.net. The organisation's main objective is to commercialise at international scale the Product Circularity Data Sheet, a communication system developed in Luxembourg that provides access to trustworthy information about a product’s circular properties - enabling it to be reused, repaired or recycled as necessary. Terra Matters aims to support European companies in their green transition by promoting the circular economy, as well as supporting the implementation of best practices, scalable and inexpensive IT solutions in the circular economy field and the implementation of cost-effective circular business models.</t>
  </si>
  <si>
    <t>Luxembourg launches new climate engagement platform with klima.lu website</t>
  </si>
  <si>
    <t>The Ministry of the Environment, Climate and Biodiversity (formerly Ministry of the Environment, Climate and Sustainable Development) has launched an online platform, klima.lu, dedicated to Luxembourg's climate engagement. The platform offers comprehensive information on climate-related issues and allows users to compare their carbon footprint with the national average. It also features the ClimABC initiative, providing a range of resources from public and civil institutions, international sites, scientific information and COP-related content. The platform aims to promote climate awareness and action, in line with the ministry's motto: 'The beginning of engagement is information'.</t>
  </si>
  <si>
    <t>Chambre des Métiers Luxembourg enhances sustainability training programme for construction sector</t>
  </si>
  <si>
    <t>The Chambre des Métiers Luxembourg has been providing ongoing training to professionals in the construction sector, focusing on energy renovation, circular economy, and selective deconstruction to meet the climate objectives of the Grand Duchy. According to Gilles Reding, director of counsel and services, the aim of the training courses is to shift Luxembourg's construction away from fossil fuels and insulation materials such as polystyrene and polyurethane towards sustainable materials. The programme also includes an eight-hour cycle on selective deconstruction to promote circular economy methods.</t>
  </si>
  <si>
    <t>EU-funded project launches survey on support for circular economy initiatives</t>
  </si>
  <si>
    <t>The Green Growth Knowledge Partnership, in collaboration with the Partnership for Action on Green Economy and the Green Economy Coalition, is conducting a survey to understand how organisations support circular economy initiatives. The survey, part of a new EU-funded project on accelerating the global transition to a green and circular economy, aims to identify key circular economy initiatives at national, regional and global levels and facilitate knowledge sharing and engagement activities.</t>
  </si>
  <si>
    <t>Concrete recycling gets under way in France</t>
  </si>
  <si>
    <t>French construction group Lafarge has invested €2.5m in what it claims to be Europe’s first concrete recycling plant, which crushes and then sorts demolition concrete to provide recycled, low-carbon cement particles which can then be reused in new cement and/or concrete. Based on patented EcoCycle technology developed by Swiss-based firm Holcim, the plant at Saint-Laurent-de-Mure in eastern France has been producing the material since September as a pilot project, ahead of a planned national rollout by the company in 2024.</t>
  </si>
  <si>
    <t>UK study highlights savings from circular construction</t>
  </si>
  <si>
    <t>In Greater London, more than 13.8 million tonnes of construction waste worth £1.25bn could be saved over the next decade by the reuse and recycling of materials, along with 11 million tonnes of carbon dioxide emissions, according to a report by construction company Mace, Closing the Circle. The report calls for a series of circular measures, including the development of ‘circularity material banks', potentially utilising current waste facilities, where building firms could access reusable construction materials.</t>
  </si>
  <si>
    <t>Slow progress on removal and recycling of plastic: study</t>
  </si>
  <si>
    <t>The Global Commitment initiative launched by the Ellen MacArthur Foundation and the UN Environment Programme has made some progress towards its vision of a circular economy that eliminates unnecessary plastic, innovates towards new materials and business models, and circulates the plastic still needed. However, the latest Global Commitment report admits that the world is not yet on course to eliminate plastic waste and pollution.</t>
  </si>
  <si>
    <t>Swiss-UK firm extends textile recycling technology</t>
  </si>
  <si>
    <t>Worn Again Technologies, which has developed a process for turning discarded textiles into polyester and cellulose for reuse by the supply chain, has received backing for a project to apply its technology to converting textiles into higher-grade PET plastic for the Swiss manufacturing sector. Starting in January 2024 and continuing into 2028, the project has been put together by a consortium including the Institut für Werkstofftechnik und Kunststoffverarbeitung and private sector partners, with financing from Innosuisse, the national innovation agency. The company operates from Nottingham in the UK and Winterthur, Switzerland, where it is jointly developing a demonstration plant with industrial partner Sulzer Chemtech, which is also based in the city.</t>
  </si>
  <si>
    <t>Electronics retailer harnesses repair, recycling and refurbishing</t>
  </si>
  <si>
    <t>Currys, the UK’s largest electronics retailer, has developed a business worth nearly £700m a year from repairs and product returns that can be refurbished and recycled, positioning itself “on the cusp of starting a meaningful circular economy around tech”. Most of the activity is based at a distribution hub in Newark, central England, which handled 2.9 million items in the first 10 months of this year, while the reuse and recycling section collected 1.6 million devices in 2022.</t>
  </si>
  <si>
    <t>Bioplastics firm to expand product range</t>
  </si>
  <si>
    <t>Algenesis, a US-based biomanufacturing company, has secured $5m to extend the application of its biodegradable bioplastic from footwear to breathable waterproof textiles and injection-moulded products such as mobile phone cases. Oils similar to petroleum are extracted from living algae and engineered in a laboratory into bioplastics, whose chemical bonds are designed to be broken down by microorganisms in nature. The latest funding follows a $5m grant from the US Department of Energy.</t>
  </si>
  <si>
    <t>Irish government publishes bioeconomy plan</t>
  </si>
  <si>
    <t>A seven-point action plan for the national bioeconomy from 2023-2025 has been unveiled by the Irish government, focusing its application on a range of different industries, led by agriculture and food. The plan also covers transversal aspects of the bioeconomy, such as governance, research and development, knowledge and skills, communities and regions, and the circular economy.</t>
  </si>
  <si>
    <t>Luxembourg maps wood industry and its sustainability-focused companies</t>
  </si>
  <si>
    <t>Luxembourg's wood industry is dynamic and growing, according to a detailed survey produced by the national innovation agency, Luxinnovation. Its interactive map of the sector identifies 1,500 companies across the nine stages of the value chain, highlighting that nearly a fifth of those firms were created between 2019 and 2022. A total of 59 of the companies are identified as actively promoting sustainability in the grand duchy, focusing their businesses on smart buildings, energy efficiency and the circular economy.</t>
  </si>
  <si>
    <t>Switzerland produces guide to circular public procurement</t>
  </si>
  <si>
    <t>The Swiss government has published a guide to circular procurement policies for national and local authorities in a bid to encourage private sector contractors to embrace circularity. Published by PAP, a government platform that provides tools and information to help authorities incorporate sustainability into their purchasing decisions, the guide describes the various elements of a circular economy, from products and business models to recycling, repairing and reuse, and their application in public tenders and contracts. Among the tools recommended for assessing the circularity of products, the guide recommends the use of the Product Circularity Data Sheet developed by the Luxembourg government. The move follows the development of Circulair Inkopen, a platform on circular procurement for the private and public sector in the Netherlands, produced in both Dutch and English.</t>
  </si>
  <si>
    <t>Dutch government focuses on circularity in construction</t>
  </si>
  <si>
    <t>A series of standards for the construction industry, including the reuse of materials, bio-based products and product passports that provide information about contents, manufacture and disassembly, have been developed by the Dutch government. As outlined by Sandra Onwijn, acting director for the transition to a circular economy at the Ministry of Infrastructure and Water Management, the overriding policy aims are to use fewer raw materials and ensure that construction materials and products last longer and can be reused and recycled.</t>
  </si>
  <si>
    <t>United Arab Emirates to invest €8bn in circular firms</t>
  </si>
  <si>
    <t>The UAE’s ministry of the economy plans to invest €8bn in local circular economy projects over the next three years, with management support from Italy’s Intesa San Paolo bank and the Milan-based Circular Economy Laboratory. Using its branches in Dubai and Abu Dhabi, along with Intesa San Paolo Innovation Center, the bank will also help the ministry to devise circularity policies and create an ecosystem comprising institutions, universities, research centres, established companies and start-ups.</t>
  </si>
  <si>
    <t>Schroders launches circularity fund</t>
  </si>
  <si>
    <t>Asset manager Schroders has launched the ISF Circular Economy fund to support companies that can help to close the gap between what the planet produces and its consumption – a business which it believes to be worth $25trn in economic growth by 2050. The firm simultaneously launched the ISF Sustainable Infrastructure fund, focusing on energy, water and waste utilities, along with rail and communications infrastructure.</t>
  </si>
  <si>
    <t>Luxembourg project gives second life to workwear</t>
  </si>
  <si>
    <t>Local charity Caritas Luxembourg and the Ministry of Environment, Climate and Sustainable Development have launched the Luxembourg Upcycling Initiative to reuse unwanted uniforms and other workwear as the raw materials for new textile products. Luxembourg's army, police, fire brigade, postal service and private companies are being encouraged to take part in the initiative, which reflects one of the priorities of the 3rd National Plan for Sustainable Development, namely to promote sustainable consumption and production.</t>
  </si>
  <si>
    <t>Circularity brochures on their way to Natur- &amp; Geopark Mëllerdall</t>
  </si>
  <si>
    <t>Residents of Natur- &amp; Geopark Mëllerdall in eastern Luxembourg are about to receive a brochure describing local circularity initiatives and resources, ranging from repair cafés and tool-sharing projects to second-hand clothes boutiques. Produced in French and German, the brochure is the latest deliverable from a project rooted in an EU programme, Leader, which aims to support economic development in rural areas.</t>
  </si>
  <si>
    <t>UEFA embraces greater circularity in European football</t>
  </si>
  <si>
    <t>European football’s ruling body, UEFA, has updated its circular economy guidelines to clubs and national associations, adding three new chapters - energy and water, apparel and football equipment, and event materials - to the strategy document launched in 2022. Only 9% of the materials used in European professional football are currently being recycled or reused, prompting UEFA to announce a '4R' strategy encouraging clubs and associations to reduce, reuse, recycle and recover.</t>
  </si>
  <si>
    <t>Luxembourg platform offers reuse of demolition materials</t>
  </si>
  <si>
    <t>Civil engineering firm Schroeder et Associés and software developer BeFresh have launched reUSE.lu, a platform for the reuse of construction materials in Luxembourg that brings together building owners and buyers. Its first project, the deconstruction of a multi-purpose building owned by Rosport-Mompach council in Born, is already underway. The reuse of existing materials is also the guiding principle behind the renovation of a large, early-20th-century building on the site of a new residential development at Wiltz, Wunne mat der Wooltz.</t>
  </si>
  <si>
    <t>Luxembourg shoppers turn to refills</t>
  </si>
  <si>
    <t>Market stallholders and independent shops in the grand duchy are beginning to provide their produce as packaging-free refills for customers bringing their own bags – and sometimes offering them a discount. Dudelange market is just one of those where it can pay to bring a bag, while an online platform for bulk groceries, Kilogram.lu, will be opening a bricks-and-mortar store at Capellen at the end of this year. A growing number of Luxembourg's health food shops are offering bulk refills in-store.</t>
  </si>
  <si>
    <t>Online marketplaces driving circular economy</t>
  </si>
  <si>
    <t>Business models based on digital trading platforms for buyers and sellers are becoming a key driver of the circular economy, providing services either for multiple sectors, one specific industry, or a specific product, according to a speaker at the online Festival of Circular Economy from November 15-16. Among the leading proponents are Idle Fish, owned by Chinese e-commerce group Alibaba, Facebook Marketplace and eBay Refurbish.</t>
  </si>
  <si>
    <t>Luxembourg unveils dismountable car park</t>
  </si>
  <si>
    <t>A consortium led by Luxembourg engineering consultants PROgroup has developed a multi-storey car park with 500 places that can be erected, dismantled and moved elsewhere to meet demand. The design is based on prefabricated concrete slabs that are slotted into the building’s metal framework, which can then be extended as required by simply adding more metal joists. The height between floors can also be varied, enabling the car park to be disassembled and later rebuilt as an office block.</t>
  </si>
  <si>
    <t>Swedish consortium to develop digital passports for fashion</t>
  </si>
  <si>
    <t>A project to develop and implement a digital product passport is underway in Sweden in a bid to drive circularity in the fashion industry. Managed by the RISE Research Institute of Sweden and funded by Vinnova, the Swedish government’s agency for innovation systems, the Trace4Value project will see product data stored in the form of a QR code that can be accessed from a mobile device. Trials will be carried out by Swedish fashion company Kappahl and Finnish brand Marimekko with a view to preparing for the EU Strategy for Sustainable and Circular Textiles that calls on mandatory digital passports by 2030.</t>
  </si>
  <si>
    <t>Research project underway into new eco-friendly coatings</t>
  </si>
  <si>
    <t>A four-year research project to develop eco-friendly adhesives and coatings for wood-based products has been launched with €4.5m in funding from the Circular Bio-based Europe Joint Undertaking. The ‘SuperBark’ project aims to develop alternatives from spruce and pine bark that can replace existing products in the furniture, construction, transport and packaging sectors that are mainly derived from fossil fuels and harmful chemicals. Led by Finland’s VTT Technical Research Centre, the project will use polyphenols extracted from tree bark using a new alkaline fractionation technology, as well as cellulose nanofibrils converted from cellulose-rich bark residues.</t>
  </si>
  <si>
    <t>New applications found for oils and fats</t>
  </si>
  <si>
    <t>A three-year research programme has produced a series of processes for turning the by-products of the industrial refining of vegetable oils and fats into useful products, beyond use for energy as biofuels. The applications developed by the Iroddi project include biodegradable detergents that are more effective and less toxic than their oil-based counterparts, bio-based lubricants that are far less polluting, and certain molecular components of cosmetics. Supported by the Bio-Based Industries Joint Undertaking, the project comprised research and academic partners from Spain, the Netherlands, Germany and France.</t>
  </si>
  <si>
    <t>German policy experts see circularity as key to decarbonising energy sector</t>
  </si>
  <si>
    <t>To make a success of their decarbonisation strategies, energy-intensive industries need to focus on moving to a circular economy model, according to German climate policy think-tank, Agora Energiewende, which has drawn up a policy framework to help such sectors achieve the transition. Its authors argue that through recycling, material efficiency and substitution, and longer product use, the world's energy-intensive value chains can become more resiliently climate neutral. They also believe that 3D printing, high-tech recycling and innovative product design will create new business models for industry in the circular economy.</t>
  </si>
  <si>
    <t>UN body for Europe highlights policy levers for circularity</t>
  </si>
  <si>
    <t>The United Nations Economic Commission for Europe has published a study of best practices for governments looking to design the institutional architecture needed for a circular economy. ‘Institutional Arrangements for the Circular Economy’ draws on case studies and recent experiences in countries across the continent, highlighting the importance of collaboration on three different levels: policy areas, such as the economy and environment ministries; policy layers, from national to regional and local government; and stakeholder groups, so that businesses, research institutes, non-profit organisations and civil society associations are all included.</t>
  </si>
  <si>
    <t>Belgian investment firm secures €360m closure of bioeconomy fund</t>
  </si>
  <si>
    <t>Astanor Ventures, an impact investment firm specialising in technology for the agri-food sector, has closed a €360m fund to support start-ups in the bioeconomy. The Belgium-based firm, which has a total of €800m of assets under management and investments in 45 companies, has a particular focus on solutions that foster regenerative agriculture.</t>
  </si>
  <si>
    <t>Circular fund launches in Greece</t>
  </si>
  <si>
    <t>Athens-based Sporos Impact Ventures has launched a €30.5m impact fund designed to support circular economy start-ups in Greece, focusing on businesses that promote resource efficiency, extend products’ lifecycles, and minimise waste. The fund will initially focus on areas such as clean energy and logistics, sustainable tourism, the bioeconomy and agri-food, industrial remanufacturing, and the management of plastics, chemicals and e-waste.</t>
  </si>
  <si>
    <t>Circularity in the spotlight for Luxembourg’s future</t>
  </si>
  <si>
    <t>Luxembourg Stratégie, the governmental agency working on delivery of the grand duchy’s ECO2050 plan, has outlined a range of possible measures to push forward the goal of a net-zero circular economy by 2050. An accompanying map illustrates the opportunities for reducing commuting, embracing homeworking and developing new business activities in areas ranging from circular construction and agriculture to carbon accounting and artificial intelligence.</t>
  </si>
  <si>
    <t>Wood Cluster Forum to meet in Luxembourg</t>
  </si>
  <si>
    <t>Wood industry professionals will be gathering in Hesperange on October 19 for the third edition of the Wood Cluster Forum, which brings together companies from Luxembourg and the Greater Region. Focusing on the latest developments and innovation in the industry, which supports 1,300 companies and nearly 20,000 employees in Luxembourg, the event will also cover circularity in the construction sector and regional wood markets.</t>
  </si>
  <si>
    <t>Candidates sought for Green Alley Award</t>
  </si>
  <si>
    <t>Circular economy start-ups in Europe that are less than five years old are being invited to bid for the 2024 Green Alley Award, which is looking for projects in the areas of recycling, waste prevention and digital solutions. Six companies will make it through to the final in Berlin next April, with the winner receiving €25,000. All six will be given mentoring and networking support for their projects, which must reach the organisers by November 20.</t>
  </si>
  <si>
    <t>Call for projects to make fashion circular</t>
  </si>
  <si>
    <t>Online marketplace eBay and the British Fashion Council have launched a competition to fund UK projects that could make fashion more circular through the use of new technology and services. Successful applicants to the eBay Circular Fashion Fund can win up to £25,000 and a bespoke mentoring programme. The closing date is October 20.</t>
  </si>
  <si>
    <t>Luxembourg platform offers repair and sharing service</t>
  </si>
  <si>
    <t>Repair services offered by more than 100 companies in Luxembourg and information about pick-up points where residents can borrow a wide variety of consumer goods are available on the Repair&amp;Share website. Formerly ‘Flécken à Léinen’, the renamed website covers domestic appliances, electronic devices, clothing, furniture, kitchenware, garden equipment, musical instruments, sports gear, camera equipment and cars.</t>
  </si>
  <si>
    <t>Luxembourg school turns to circular economy</t>
  </si>
  <si>
    <t>Circular practices in construction have been applied to the refurbishing of two buildings at the Lycée Michel Lucius in Limpertsberg, highlighting decisions such as the selection of new or reused materials, conservation or demolition, and the environmental impact of each decision. Supported by the Luxembourg Institute of Science and Technology, the project was a pilot organised by the grand duchy’s Administration des bâtiments publics with a view to applying the knowledge gained to future schemes.</t>
  </si>
  <si>
    <t>Luxembourg residents making progress in recycling</t>
  </si>
  <si>
    <t>The annual amount of residual waste produced by every Luxembourg resident was 163 kilos in 2021-22, a fall of 30 kilos from a 2018 baseline, thanks to a combination of increased recycling provision, the EU Single Use Plastics directive, tax changes and greater public awareness of the need to avoid waste. However, up to 50% of the content of waste bins could be recycled, as disposable products made of alternatives to plastic – such as wood and paper – continue to be dumped in rubbish bags.</t>
  </si>
  <si>
    <t>Consumers warm to refurbished electronics</t>
  </si>
  <si>
    <t>The popularity of refurbished devices is growing, as consumers take environmental issues more into account when purchasing new products, according to a UK survey of attitudes to refurbished goods. The environmental impact of electronics goods purchases was a consideration for 71% of respondents, while 67% said that a brand’s environmental credentials was a factor in the buying decision, and 64% that they had bought a recycled/refurbished electronic or electric device in the past. To enhance circularity, the report’s authors recommend that manufacturers refurbish and repair defective products rather than scrap them, ensuring they comply with consumer standards regulations, and collecting and recycling as many of their old products as possible.</t>
  </si>
  <si>
    <t>German researchers focus on circular product cycles</t>
  </si>
  <si>
    <t>ReziProK, a research programme funded by the German government, is supporting 25 projects that are seeking to bring circularity into product cycles. Each project relates to one or more of five key themes: the use of recycled materials, the extension or intensification of product use, improving the recyclability of electric vehicles, optimising and expanding remanufacturing, and developing information transfer along the value chain. The programme, backed by the federal ministry of research and education, started in 2019 and is due to draw to a close at the end of the year.</t>
  </si>
  <si>
    <t>Recycling tech firm offers new path for plastics</t>
  </si>
  <si>
    <t>UK-based Mura Technology has developed an alternative to the current approaches to plastics recycling – typically based on pyrolysis and gasification – that avoids the need for combustion. Instead of burning, the waste plastic is mixed with superheated water to produce oils that can be used to make new food-grade plastic. The company’s first plant, capable of recycling 20,000 tonnes of mixed plastic films, pots, tubs and trays annually, will open later this year in northeast England.</t>
  </si>
  <si>
    <t>Biorefineries chosen as flagship projects in EU-backed bioeconomy programme</t>
  </si>
  <si>
    <t>The Circular Bio-based Europe Joint Undertaking, a €2bn public-private initiative to support European bioeconomy firms, has signed off on 21 project grants worth €116m. Backed by the EU, the initiative is highlighting two large-scale biorefinery projects: Spanish-based Sustainext, which will turn food industry waste into healthy plant-based extracts for food supplements, animal feed and fertiliser; and Sylplant, in France, which will use agricultural and forestry residues to produce protein-rich food and animal feed ingredients.</t>
  </si>
  <si>
    <t>Public consultation backs circularity in Northern Ireland</t>
  </si>
  <si>
    <t>A public consultation on Northern Ireland’s draft circular economy strategy has found that 75% of respondents agreed with its circular vision and 66% agreed with the aim of halving the nation’s material footprint by 2050. Respondents also agreed that dedicated clusters and networks would be needed for key sectors such as agriculture, manufacturing, construction, energy, waste-related, health and social care, and materials such as textiles and packaging. The information gathered during the consultation will now be used to prepare a circular economy strategy for Northern Ireland.</t>
  </si>
  <si>
    <t>Funding available for sustainable companies in Luxembourg</t>
  </si>
  <si>
    <t>Luxembourg companies looking to increase their recycling, reuse of waste, and resource efficiency can apply for up to €350,000 in financing from a new government-backed scheme. Successful applicants can access a maximum of €100,000 in grants from the Ministry of the Economy and €250,000 in loans from La Société Nationale de Crédit et d’Investissement under the scheme, which will operate until the end of 2024.</t>
  </si>
  <si>
    <t>Winners announced for circular construction funding</t>
  </si>
  <si>
    <t>Platforms for reusing building materials, insurance policies to provide secondhand materials with warranties and digital tech that promotes reuse at demolition sites are among the winners of a competition launched by the Circular Buildings Coalition, a European group promoting the circular economy in the construction industry. The 10 winners among 57 applicants are starting an initial four-month phase of support, each backed by a €20,000 grant to help them produce a feasibility study and white paper about their project. They can later apply for a six-month second phase, bringing further support from coalition members and a €75,000 grant, to take their project through to deployment.</t>
  </si>
  <si>
    <t>Investors back German circular construction materials platform</t>
  </si>
  <si>
    <t>Schüttflix, a construction tech platform, has completed a €45m funding round to further its marketplace for the supply and disposal of bulk materials for construction sites. With 13,000 customers and a near doubling of turnover in 2022 to €90m, the platform provides paperless documentation, the live tracking of deliveries and an easier process for the logistics and recycling of materials.</t>
  </si>
  <si>
    <t>Dutch firm raises funding for secondhand electronics</t>
  </si>
  <si>
    <t>Valyuu, a Dutch start-up, has raised €2.4m for its online marketplace for selling, buying and donating used electronic devices - each of which comes with a digital passport containing information about its condition, including access to photos and test reports. The platform has some 20,000 active buyers and sellers, primarily for smartphones, tablets and wearables. Led by Rubio Impact Ventures and Slingshot Ventures, the funding will be used for the company's expansion in the Benelux countries and platform enhancements including new features, an expanded catalogue of devices and optimised product pricing and matching.</t>
  </si>
  <si>
    <t> EU bioeconomy project stages conference in Luxembourg  </t>
  </si>
  <si>
    <t>An EU-funded programme that is examining ways of turning biomass residues created by the management of rural landscapes and urban green spaces into a range of carbon products is hosting a one-day conference in Bettembourg on September 26. Entitled “Biochar: Transforming Construction Sustainability” and led by the Re-Direct project funded by Interreg North West Europe, the event will focus on the potential applications of biochar in the building industry.</t>
  </si>
  <si>
    <t>Luxembourg media outlet highlights circularity in construction</t>
  </si>
  <si>
    <t>Modular wood-frame houses, solar panels, sustainable paint, materials recycling and the broader issues of policymaking and urban development are among the topics covered in a set of 44 articles on circularity in the building industry published in September by Luxembourg media platform, Info Green.</t>
  </si>
  <si>
    <t>Circular Week conferences set for October</t>
  </si>
  <si>
    <t>The sixth edition of the Circular Week series of conferences will be held from October 23-27 at different venues in Warsaw, Wroclaw and Lublin, in Poland, as well as in Brussels and online, depending on the event. The centrepiece will be the Mazovia Circular Congress and exhibition on October 25 in Warsaw.</t>
  </si>
  <si>
    <t>UK group publishes circularity handbook</t>
  </si>
  <si>
    <t>A guide to using the circular economy as a way of achieving net zero has been compiled by Business in the Community, a group of purpose-led UK businesses which is supported by King Charles. As well as setting out key levers and enablers, such as collaboration, leadership and systems thinking, the report entitled ‘In Your Hands: going circular for net zero’ also includes insights from 35 organisations.</t>
  </si>
  <si>
    <t>Luxembourg innovation agency produces reuse platform</t>
  </si>
  <si>
    <t>Luxinnovation has published a guide to making the best use of construction materials in Luxembourg through reuse, recycling and repurposing, along with best practices for deconstruction. The report, ‘Setting up a reuse platform in the Grand Duchy of Luxembourg’, highlights the value of so-called ‘waste’ in the construction sector and seeks to achieve four objectives: identify the key players in the value chain and their interactions, define the regulatory obstacles and suggest possible solutions, study existing reuse models elsewhere in Europe, and propose three platform models for the medium and long term. Its publication coincides with a European Commission study on the construction sector, which found that 68% of companies mentioned circularity as part of their activities but only 38% were measuring its use.</t>
  </si>
  <si>
    <t>Luxembourg would benefit from tax switch to help circularity: report</t>
  </si>
  <si>
    <t>GDP growth and higher employment are the potential benefits for Luxembourg of adopting a tax shift from labour to pollution and resource use proposed by the EU’s Green Deal, according to a study by the Ex’tax Project. Having modelled the potential impact of the switch in all 27 member states, the cumulative benefits for the period 2021-2025 in Luxembourg would be a €0.4bn rise in GDP, the creation of 23,500 employment years, a €183m investment in infrastructure, and the saving of 3.8 million tonnes of carbon dioxide emissions and €0.5bn on the imported energy bill. The High Council for Sustainable Development (Nohaltegkeetsrot) has identified 20 measures to carry out such a switch.</t>
  </si>
  <si>
    <t>Luxembourg’s repair cafés reach milestone</t>
  </si>
  <si>
    <t>The volunteer repair cafés created across Luxembourg since 2013 to help prevent faulty electrical and electronic devices from ending up in landfill have repaired their 1,000th item, according to its organisers. The cafés, which also provide an opportunity for DIY enthusiasts to meet and socialise, welcome new customers and potential repairers alike.</t>
  </si>
  <si>
    <t>European study to look at consumer commitment to fashion circularity</t>
  </si>
  <si>
    <t>Payment network Visa, fashion brand H&amp;M and the United Repair Centre are heading a consortium that plans to carry out consumer research across Europe to measure people’s willingness to engage with reselling and repairing fashion items. The aim is to bridge the gap between survey results showing that 92% of consumers want to be more sustainable and that only 16% are changing their behaviours to do so. Countries involved in the initial studies include France, Germany, the Netherlands and the UK.</t>
  </si>
  <si>
    <t>Start-ups drive move away from fossil fuel products</t>
  </si>
  <si>
    <t>Biodegradable shoes, seaweed packaging, plastic-free period pads, and bricks made from earth and cow dung are among the innovations created by the 13 award winners of the Make It Circular Challenge. Organised by Dutch-based organisation What Design Can Do, in partnership with the IKEA Foundation, awards also went to a water purifying device, technology that turns agricultural waste into biodegradable textile fabric, and heat-dissolving stitching threads for the clothing industry. Chosen from over 650 entrants, the winners will receive €10,000 in funding and a development package to take their ideas to the next level.</t>
  </si>
  <si>
    <t>EU Horizon offers ‘test before you invest’ programme for biomaterials</t>
  </si>
  <si>
    <t>Inn-Pressme, an EU Horizon innovation programme, is making Open Innovation Test Beds available for start-ups looking to develop bio-based nanomaterials on an industrial scale to replace fossil fuel-based products. The programme focuses on three main application fields - packaging, energy and transport, and consumer goods - and aims to develop novel, sustainable and recyclable solutions based on bioplastic or to create fibre-based alternatives.</t>
  </si>
  <si>
    <t>EU-backed project seeks broader applications for underused bio fibres</t>
  </si>
  <si>
    <t>Developing bio-based fibres for use in textiles, food packaging and composite materials is the goal of another new EU Horizon programme, Bio-Lush. Supported by the Circular Bio-based Europe Joint Undertaking and led by Stockholm University, the project is looking to exploit underused feedstock such as hemp stalks, forest residues, nettles and seagrasses to deliver sustainable alternatives to conventional products, while avoiding competition with food production. Examples include the production of biodegradable or edible packaging, impact-resistant composites, antimicrobial textile fibres and 3D printable hydrogel formulations.</t>
  </si>
  <si>
    <t>France issues call for circular projects</t>
  </si>
  <si>
    <t>The French government has issued a first call for projects to create an innovative, high-tech, low-carbon and circular economy, with an initial €50m available in funding. The initiative is looking for projects in three areas: the eco-design of products and services to reduce resource use; the extension of product life cycles through repair and reuse; and the adoption of sustainable, right-sized production models. The project is part of the government’s broader €4bn ‘France 2030’ programme to promote the sustainable use of digital technology, which currently accounts for 10% of the country’s electricity consumption and 2.5% of its carbon dioxide emissions.</t>
  </si>
  <si>
    <t>EU research body targets plastic circularity for cars</t>
  </si>
  <si>
    <t>The European Commission’s Joint Research Centre has put forward policy proposals to make the EU’s vehicle industry more circular, including the introduction of mandatory targets for the use of recycled plastics and measures to increase the recycling and reuse of critical raw materials, such as rare earth elements. The proposals are designed to address the fact that only 19% of the plastic fractions recovered after shredding end-of-life vehicles are currently sent for recycling, while the rare earth elements in electric drive motors and palladium in embedded electronics are rarely recycled at all.</t>
  </si>
  <si>
    <t>Circularity initiative launched by UK government</t>
  </si>
  <si>
    <t>A new ‘Maximising Resources, Minimising Waste’ programme is being launched by the UK government to drive circularity through a series of product design, repair and reuse projects in seven sectors: construction, textiles, furniture, electronics, food, road vehicles and plastics/packaging. Consultations will be launched in a range of target areas, such as textile collections from businesses, the disposal and extended manufacturer responsibility for vapes, and a reform of national regulations on vehicle batteries.</t>
  </si>
  <si>
    <t>VC fund set to invest in built environment transition</t>
  </si>
  <si>
    <t>A/O, a London-based venture capital firm, has closed a €250m fund for investing in the transition to a more sustainable built environment. Providing seed and Series B funding, the company aims to provide support throughout the various stages of the project cycle – covering design, the supply chain, new materials, engineering and construction through to building operation and management. Among the subject areas being targeted are decarbonisation, automation, digitisation and big data management, as well as artificial intelligence.</t>
  </si>
  <si>
    <t>Guide published for circularity and financial reporting</t>
  </si>
  <si>
    <t>The World Business Council for Sustainable Development and consultants KPMG have produced a guide to the council’s Circular Transition Indicators and their use by the 50,000 companies affected by the EU's Corporate Sustainability Reporting Directive. The guide focuses on the requirements of reporting standard ESRS 5, which includes circularity areas such as resource consumption, waste generation, circular design and product life cycles.</t>
  </si>
  <si>
    <t>Insurance problems are slowing circularity: report</t>
  </si>
  <si>
    <t>High insurance premiums and inadequate cover are limiting the contribution of recycling companies to the circular economy, according to a Swiss Re Institute report which highlights the mismatch between the relatively low number of incidents – mainly fires at recycling plants – but the high cost of premiums.  Entitled ‘What goes around comes around: Insuring the circular economy’, the report blames the wide variations in site scales, processes and technologies for the high costs and inadequate coverage, and calls on recyclers, brokers and insurance companies to work together to address the situation.</t>
  </si>
  <si>
    <t>Luxembourg to host two conferences on circular construction</t>
  </si>
  <si>
    <t>After a successful third Meet&amp;Build presentation and networking session for Luxembourg start-ups looking to drive circularity in the construction sector, its organisers have scheduled a fourth meeting at Bettembourg on September 12 on the theme of ‘eco-circular construction and carbon emissions’. Later in the month, the grand duchy’s Conseil National pour la Construction Durable is hosting a conference entitled ‘#Decarbonisation of Luxembourg’s construction sector’, looking at topics such as domestic and EU regulations on decarbonisation, carbon dioxide measuring tools, and roadmaps and best practices. The event on September 20 will be held at the European Convention Centre.</t>
  </si>
  <si>
    <t>Food waste and circularity under spotlight in Paris</t>
  </si>
  <si>
    <t>A one-day conference entitled ‘Dialogues on the Circular Economy: Strategies for Transitioning from Food Waste Reduction to Zero Food Waste in the EU’ will be held in Paris on September 4, focusing on the current state of food waste in the union and the policy options for driving change. Information about other circularity events is also available on the same portal operated by the European Circular Economy Stakeholder Platform.</t>
  </si>
  <si>
    <t>Luxembourg start-ups drive reuse in hospitality sector</t>
  </si>
  <si>
    <t>Ecobox, Reka-Packaging and LuLoop are among the Luxembourg start-ups helping to bring reuse and recycling to the grand duchy’s hospitality, restaurant and canteen sector. Ecobox is a range of plastic bowls with lids and a €5 deposit that enables food to be taken away, while Reka-Packaging offers other types of reusable bowls/plates and cutlery. LuLoop began with a reusable coffee cup with a €1 deposit and is currently extending its product range. The trend chimes with Luxembourg’s ‘waste and resources’ laws that took effect in January, obliging restaurants to use reusable packaging for serving food on-site – and for takeaway customers from January 2025 onwards.</t>
  </si>
  <si>
    <t>Luxembourg association passes recycling milestone</t>
  </si>
  <si>
    <t>Ecotrel, a non-profit organisation in Luxembourg that facilitates the recovery and reuse of domestic appliances, collected more than 5,000 items in 2022 and was able to put 89% of them back onto the market after refurbishment. With its Social ReUse programme, drop-off points can be used for all types of devices - such as smartphones, PCs, video game consoles, light bulbs, white goods, microwaves and toasters.</t>
  </si>
  <si>
    <t>Bike rental firm sees increased demand for refurbished models</t>
  </si>
  <si>
    <t>London-based Bike Club, now the largest children’s bike rental firm in the UK and Germany, says there is now a greater demand from parents for refurbished models than for new bikes. With the average child needing a larger model every 15 months between the ages of two and 16, millions of unused bikes are left in sheds and garages. Bike Club can refurbish and rent out a bike up to six times before it is disassembled for recycling.</t>
  </si>
  <si>
    <t>Luxembourg set for new round of tech funding</t>
  </si>
  <si>
    <t>A 14th round of grants from the Luxembourg government’s Fit 4 Start start-up accelerator are now available for new tech businesses that integrate one or more of the three main pillars of sustainability: people, planet and prosperity. Up to €150,000 is available per project, along with coaching, office space, networking opportunities and access to the grand duchy’s petascale high-performance computer. Digital solutions are seen as key to the largescale development of a circular economy.</t>
  </si>
  <si>
    <t>US-South Korean partnership targets solid state battery recycling</t>
  </si>
  <si>
    <t>US solid state battery developer Factorial Energy is partnering with South Korean metal smelting and refining company Young Poong to develop the world’s first lithium recovery process from solid state batteries – widely seen as the future for electric vehicles and other applications. With Young Poong’s help, the US firm hopes to recycle the valuable lithium metal currently left behind during its battery manufacturing process.</t>
  </si>
  <si>
    <t>US outlines strategy for bioeconomy jobs</t>
  </si>
  <si>
    <t>The US government has outlined plans to provide the training and education needed for the country’s bioeconomy, which the Biden administration has committed to supporting in a series of legislative packages, including the Inflation Reduction Act. Funding will be made available for apprenticeships and technical education programmes for high school leavers, according to the White House report, Building the Bioworkforce of the Future.</t>
  </si>
  <si>
    <t>EU move to circular economy has stalled: Court of Auditors</t>
  </si>
  <si>
    <t>Years of policymaking and €10bn in funding to support the circular economy in the EU has failed to move the transition forward, according to a report by the European Court of Auditors, which found that money had been spent on waste management rather than avoiding waste through reuse. The court's findings chime with two briefings by the European Environment Agency predicting that the EU will struggle to meet its target to double the circularity of material use by 2030 and to meet targets for municipal waste recycling.</t>
  </si>
  <si>
    <t>EU moves ahead with battery regulation, smartphone plans</t>
  </si>
  <si>
    <t>The Council of the EU has adopted a regulation that will improve the sustainability of all types of batteries from their production stage through to reuse and recycling. Manufacturers are being given targets for the recovery and recycling of their products by a range of dates from the end of 2027 to 2031. In a separate move, smartphone and tablet manufacturers will need to give details of energy efficiency, battery life and the reparability of their devices under new proposals from the European Commission.</t>
  </si>
  <si>
    <t>Amsterdam sets circular example</t>
  </si>
  <si>
    <t>A strategic move by city authorities in Amsterdam to foster a circular economy has helped to create start-ups ranging from clothing repair companies to the use of digital twins for the construction industry. The United Repair Centre, for example, not only provides an alternative to buying new clothing but also organises training workshops for the employees of corporate partners, along with young people and refugees trying to enter the labour market. By contrast, Madaster has developed a platform for architects, building firms and developers to reuse and recycle construction materials and products.</t>
  </si>
  <si>
    <t>US firm secures funding for bioeconomy feedstock</t>
  </si>
  <si>
    <t>Hyfé, a start-up based in Chicago, has raised $9m in seed funding for a pilot scale demonstrator of its microbial fermentation technology for turning food industry wastewater into reusable water and creating feedstock for biomanufacturing. Focusing on the sugary wastewater from manufacturing facilities such as breweries, corn millers and canning factories, the aim is to develop alternative feedstocks for biomanufacturers across a broad spectrum of sectors producing fuels, food, materials and chemicals.</t>
  </si>
  <si>
    <t>Sustainable finance taxonomies need reworking to support circularity</t>
  </si>
  <si>
    <t>Taxonomies for sustainable investments can play a key role in bridging the funding gap for a circular economy - but a detailed review of the EU’s taxonomy reveals a number of challenges that need to be resolved, according to Chatham House, a London-based policy think-tank. In Luxembourg, the opportunities and challenges raised by the EU Taxonomy will be the subject of a half-day conference on July 18 organised by the House of Sustainability at the Chamber of Commerce.</t>
  </si>
  <si>
    <t>UK project makes funding available for citizens’ circular projects</t>
  </si>
  <si>
    <t>Telecoms group Virgin Media 02 and environmental charity Hubbub are launching a £500,000 fund to support community-led projects across the UK for the repair and reuse of electronic and electrical devices. Project leaders can apply for grants ranging from £25,000 to £100,000, ahead of a closing date of October 20. Winners of the 2022 funding round included a repair café network, a repair project involving schools in Bristol and device repair skills training for young people in Hull. Similar community-led initiatives are under way elsewhere in Europe, many of them featuring members of the Right To Repair network and lobby group.</t>
  </si>
  <si>
    <t>Circularity meets sharing economy in Luxembourg awards</t>
  </si>
  <si>
    <t>Three projects for the sharing economy and five more for social innovation were rewarded with co-financing deals worth up to €200,000 each during the Luxembourg Impact Days held in early July. Six of the projects involved the circular economy, involving the sharing of items such as tools, kitchen appliances and leisure goods, along with initiatives to recover supermarket reject fruit and vegetables, and to combat food waste.</t>
  </si>
  <si>
    <t>Environment agency publishes reports and datasets on EU circularity</t>
  </si>
  <si>
    <t>The European Environment Agency has produced a series of briefings on a range of circularity issues, including biodiversity, the continuing rise in household consumption, and waste prevention efforts at national level across the EU. In addition, the agency’s website now hosts a Circularity Metrics Lab containing datasets, statistics and surveys of progress towards the circular economy.</t>
  </si>
  <si>
    <t>Studies point to circularity stumbling blocks in built environment</t>
  </si>
  <si>
    <t>The European Green Deal is an opportunity to overcome the current legislative and policy barriers that are preventing circularity from taking root in the construction industry, according to a study of Nordic countries. Policy complexities, along with cultural, market-based and technical barriers need to be removed, says the report, which draws on a programme running from 2021-24 to drive the green transition of the Nordic building sector. The study comes as an EU survey of the construction industry found that, although the vast majority of more than 300 stakeholders saw the transition to a circular economy as a priority, fewer than 25% actually measure their degree of circularity.</t>
  </si>
  <si>
    <t>UN charts route for tackling plastic pollution through circularity</t>
  </si>
  <si>
    <t>The UN Environment Programme says it has produced a compass for governments and an action plan for businesses to end plastic pollution by 2040 with its new report, Turning off the Tap: How the world can end plastic pollution and create a circular economy. Its authors propose a two-pronged approach that would reduce the use of problematic and unnecessary plastic, while also developing circularity in plastics. The three key shifts needed to achieve these goals are reuse, recycling and creating alternatives to plastic that are price-competitive with products based on fossil fuel polymers.</t>
  </si>
  <si>
    <t>Business needs to improve circularity communication with consumers</t>
  </si>
  <si>
    <t>Companies that want to adopt circular business models are failing to explain the concept effectively to customers, according to a research project led by Exeter University in the UK that focused on the food and drink sector and household appliances. On its own, the sustainability aspect of circularity is not enough to change consumer behaviour, according to the study's authors, who argue that the circular economy needs to be part of “an excellent customer experience” to win over shoppers.</t>
  </si>
  <si>
    <t>Luxembourg unveils its first ‘earthship’</t>
  </si>
  <si>
    <t>The town of Redange has become home to the grand duchy’s first building based on the circularity principles of ‘earthship’ housing developed by US architect Michael Reynolds. Located next to the town’s high school, the space is being used for circular economy education and research, along with the development of low-tech solutions. Built from a combination of natural and upcycled materials including wood, earth and recovered products, it captures and reuses rainwater, while electricity is generated by a wind turbine and solar panels.</t>
  </si>
  <si>
    <t>Innovative city projects drive circularity thinking</t>
  </si>
  <si>
    <t>From Amsterdam’s Smart City Circle Lab and Toronto’s Circular Economy Procurement Implementation Plan to the O-House project in Kongsvinger, Norway, city authorities around the world are using innovation to drive circularity in areas such as public-private collaboration, procurement contracts and housing. City authorities also have the resources to provide expensive equipment - such as larger 3D printers or water-based cutting machinery - that can be shared by circular start-ups, according to media platform Social Europe.</t>
  </si>
  <si>
    <t>Researchers target plant-based packaging</t>
  </si>
  <si>
    <t>A three-year project bringing together German research institutions and companies is aiming to develop a plant starch alternative to the foam plastics used in packaging such as polystyrene, polyethylene or polyurethane. Funded by the federal Agency for Renewable Resources, the product created by the Starch Foam Films project is planned to be fully compostable and ready for industrial production by the end of 2025.</t>
  </si>
  <si>
    <t>Seaweed project to remove carbon and replace fossil fuel feedstock</t>
  </si>
  <si>
    <t>Seafields, a UK-based company planning to cultivate micro-algae in the Atlantic to remove carbon dioxide from the atmosphere, is to partner with Spain’s MacroCarbon and US firm Carbonwave to develop aquafarms in the Caribbean that will provide biological feedstock alternatives for industries currently using fossil fuels. The challenge lies in domesticating the wild sargassum seaweed, which lives in the open ocean and can double in size every 10-14 days - removing large amounts of carbon dioxide in the process.</t>
  </si>
  <si>
    <t>German firm to produce grain-based alternative to plastic</t>
  </si>
  <si>
    <t>traceless, a bioeconomy start-up, is to build a demonstration plant in Hamburg to manufacture its natural, compostable alternative to plastic on an industrial scale. Made of plant residues from industrial grain processing, the firm's materials are produced as granulates that can be further processed with standard technologies used in the plastics and packaging industries. Designed to create end-products such as rigid moulded parts, flexible films, paper coatings and adhesives, the project has been awarded €5m from the German environment ministry’s innovation fund.</t>
  </si>
  <si>
    <t>New role for recycling facilities in Luxembourg</t>
  </si>
  <si>
    <t>Recycling centres in Luxembourg are being required to offer three new services to the public as part of the grand duchy’s transition to a circular economy. Each site needs to provide an area where objects for reuse can be left and checked, another for second-hand articles such as books, cutlery, crockery, CDs, DVDs, videogames, baby care accessories, bikes and childrens' scooters, and a third for providing information about recycling and reuse. In a different sphere, schools in southern Luxembourg are being encouraged by the Syndicat Intercommunal à Vocation ECologique to collect unwanted educational materials at the end of the academic year with a view to their reuse.</t>
  </si>
  <si>
    <t>Wiltz unveils circular economy zone</t>
  </si>
  <si>
    <t>Luxembourg’s economy minister Franz Fayot and Wiltz town council have announced plans for a 3.63-hectare extension to the Salzbaach regional activity zone devoted to the circular economy. With the town’s population expected to grow from 8,000 to 11,000 in the next 10-to-15 years, the zone’s expansion will provide employment opportunities and an environment designed for low-energy transport, recycling and the collection and reuse of rainwater.</t>
  </si>
  <si>
    <t>EU falling behind on circular economy targets</t>
  </si>
  <si>
    <t>The European Environment Agency has warned that the EU’s circular economy plan to double the share of recycled materials in its economy by 2030 needs to speed up if the targets are to be achieved. In 2021, about 11.7% of all materials used in the EU came from recycled waste, up from 8.3% in 2004. To make real progress, the agency recommends increasing the recycling rate of all treated waste from the current 40% to 70%, decreasing overall material inputs by 15%, and reducing the amount of fossil fuels used by 34%.</t>
  </si>
  <si>
    <t>Belgium to create reparability index for consumer goods</t>
  </si>
  <si>
    <t>Belgium is to become the second European country after France to produce a reparability index for consumer goods as part of the government's action plan for the circular economy. Covering washing machines, dishwashers, vacuum cleaners, high-pressure cleaners, lawnmowers, televisions and laptops, the criteria making up the index will include the availability of technical information and maintenance manuals, the ease with which the product can be dismantled, the availability of spare parts and their delivery times, the price of spare parts and other aspects specifically linked to the product. Passed by the Council of Ministers earlier this month, the bill will come into force in 2026.</t>
  </si>
  <si>
    <t>World's development banks join to support circularity</t>
  </si>
  <si>
    <t>A group of leading development banks has committed to supporting circular economy initiatives through capacity building, developing impact assessments for circular investments, and facilitating access to financial support. Comprising the African Development Bank, the European Bank for Reconstruction and Development, the European Investment Bank, the Inter-American Development Bank and the World Bank, the group believes that the circular economy can help to address the three key global challenges of climate change, biodiversity loss and pollution.</t>
  </si>
  <si>
    <t>ETF launched for circular investments</t>
  </si>
  <si>
    <t>Rize ETF, a thematic issuer of exchange-traded funds that focuses on sustainability, has become the latest investment firm to create a circularity fund. The Rize Circular Economy Enablers UCITS ETF will invest in firms that are “making a substantial contribution to ‘The Transition to a Circular Economy’ objective of the EU Taxonomy”. Significantly, the fund will exclude certain activities that are considered circular by other investment firms: waste management, waste-to-energy, and first-generation biofuels such as corn-based bioethanol as they are produced from crops that could otherwise be used for food or animal feed. In a separate development, the publication of the EU Taxonomy environment Delegated Act set out the criteria for 'green' investment in the manufacturing and transport sectors, flagged by the European Commission as a step forward for the circular economy.</t>
  </si>
  <si>
    <t>UK and EIB investment in circularity on the rise</t>
  </si>
  <si>
    <t>The number of circular economy investments in the UK increased by 16% to 142 in 2022 compared to 122 in 2021, outperforming the UK mergers and acquisitions market, where the volume of investments fell by 12%, according to consultants BDO. The disclosed capital increased from £788m to £879m over the year, with 62% of the transactions involving venture capital and 17% financed by mid-market private equity. The rise mirrors an increase in lending by the European Investment Bank to circular economy initiatives, with €3.4 billion in co-financing deployed on 118 circular projects over the past five years, with a record €1.1 billion provided in 2022.</t>
  </si>
  <si>
    <t>Luxembourg’s Circular By Design announces prize winners</t>
  </si>
  <si>
    <t>A 3D printing service that uses eggshells and clay, the replacement of single-use plastic with reusable plates, cutlery and cups in the food business, and the promotion of regenerative agriculture among small-holder farmers in Rwanda were among the five winning entries at Luxembourg’s Circular By Design awards. Joining them on the podium were a 3D printing solution designed for use by humanitarian organisations in disaster areas and a board game created in partnership with social partners including Autisme Luxembourg.</t>
  </si>
  <si>
    <t>Luxembourg turns spotlight on smart production</t>
  </si>
  <si>
    <t>The importance of technology and innovation in the future of manufacturing, along with the support available from the Luxembourg government, were highlighted during the Smart Manufacturing Week organised by Luxinnovation in early June. The views of industrial companies and the government’s plans for new research and development grants were key elements of an event showcasing circularity trends in the manufacturing sector.</t>
  </si>
  <si>
    <t>Free circular economy webinars available</t>
  </si>
  <si>
    <t>Three one-hour panel discussions about the circular economy are available as free webinars from sustainability news website edie.net. Panellists include representatives from the Ellen MacArthur Foundation, corporates, and circular start-ups. Aside from edie.net, a wide variety of resources are now available online, such as the circular indicators library provided by Circle Economy.</t>
  </si>
  <si>
    <t>Luxembourg to fund equipment sharing projects</t>
  </si>
  <si>
    <t>Luxembourg’s Ministry of the Economy has launched a call for projects to help the sharing economy, focusing on community spaces where people can share and borrow tools and other equipment. Co-financing of up to €200,000 is available for each successful project, with applications invited from either individual businesses or consortia until June 16, 2023. Candidates can take inspiration from initiatives such as the 'Gutt Geschier' sharing project in Esch-sur-Alzette.</t>
  </si>
  <si>
    <t>Study highlights employee aspects of circular models</t>
  </si>
  <si>
    <t>Academic researchers have published a study on the employee skills needed for circular economy companies, surveying over 2,400 employees in circular start-ups and creating a taxonomy of 40 skills across six categories: business innovation, operations, social dimensions, systems, digitalisation and technical issues. Its authors say the taxonomy can be used by start-ups for activities such as skill mapping, targeted recruiting, upskilling and reskilling, and performance and career management.</t>
  </si>
  <si>
    <t>AI to play role in food industry circularity</t>
  </si>
  <si>
    <t>Artificial intelligence can be harnessed to help the transition to a circular food system, according to a study by the Ellen MacArthur Foundation, Google and McKinsey. The research pinpoints three areas where AI could be deployed, beginning with agriculture and the analysis of data on soil and crop health collected from drones, remote sensors, and smart farm equipment. AI can also help to tackle avoidable food waste by better aligning supply and demand between retailers/restaurants and the food production chain, and by designing and marketing healthier food products.</t>
  </si>
  <si>
    <t>German government finances ‘Car2Car’ recycling project</t>
  </si>
  <si>
    <t>Germany’s Federal Ministry for Economic Affairs and Climate Action is funding an automotive industry programme led by BMW aimed at finding ways of improving the quality of secondary materials from recycled car components, so that more of them can be used in new vehicles. The Car2Car project is focusing on innovative dismantling and intelligent sorting to boost the recovery of aluminium, steel, glass, copper and plastic, with BMW’s ultimate goal being to raise the proportion of secondary materials in new cars to 50%.</t>
  </si>
  <si>
    <t>Start-up looks to reduce metal processing waste through AI</t>
  </si>
  <si>
    <t>Tvarit, a Frankfurt-based firm, says it can reduce scrap by 50% and energy costs by up to 30% in the metal processing industry by using artificial intelligence to work out the optimum parameters for activities such as casting, hot forming and welding. According to Tvarit, there are 2.4 trillion possible parameter combinations in the latest production systems – making AI the only realistic way of finding the best combination for avoiding waste.</t>
  </si>
  <si>
    <t>EU to fund bio-economy projects</t>
  </si>
  <si>
    <t>The Circular Bio-based Europe Joint Undertaking, a partnership between the EU and the Bio-based Industries Consortium, is inviting project tenders for a €215.5m budget provided by the Horizon Europe programme. A total of 18 topics areas are involved, with support available for three types of project – research and feasibility studies for a product or service, the scale-up from prototype to full-scale production, and coordination with stakeholder groups and outreach. The final deadline for applications is September 20 this year.</t>
  </si>
  <si>
    <t>German start-up turns biochar into soil improver</t>
  </si>
  <si>
    <t>Circular Carbon, a Hamburg-based start-up, is turning organic waste into biochar - a fine-grained, highly porous substance consisting mainly of carbon and minerals that stores water and nutrients, thereby improving the fertility of soil. The initial feedstock is cocoa shells – a waste product of chocolate and cocoa production – which are converted into biochar through pyrolysis, generating energy in the form of steam, heat and electricity in the process.</t>
  </si>
  <si>
    <t>Spain passes decree on waste and recycling</t>
  </si>
  <si>
    <t>A government decree has been passed in Spain incorporating EU directives on waste reduction, recycling and sustainable packaging, along with a crackdown on single-use plastic, as part of a move towards a circular economy. To reduce waste, the legislation also sets an objective of ensuring that all packaging on the domestic market by 2030 will be recyclable and, where possible, reusable. For plastic, it sets out a series of recommended percentages of recycled plastic in new packaging.</t>
  </si>
  <si>
    <t>European Parliament argues over reuse and recycling</t>
  </si>
  <si>
    <t>Members of the European Parliament are divided over whether reuse or recycling is the best way to tackle the bloc’s packaging problem. A meeting of its environment committee to discuss the draft packaging and packaging waste regulation was split between those arguing for scrapping planned targets for reuse of takeaway food and drinks packaging – warning that it could lead to an increased use of plastic - and those wishing to maintain them. Some MEPs are lobbying for a switch to recyclable paper-based alternatives, despite concerns about the forestry industry’s ability to meet greatly increased demand for its products.</t>
  </si>
  <si>
    <t>EU Council backs consumers on greenwashing</t>
  </si>
  <si>
    <t>The EU Council has set out its negotiating position with the European Parliament for protecting consumers from unfounded sustainability claims by goods manufacturers. The Council proposes banning generic claims such as 'eco-friendly', 'green' or 'climate neutral' unless those claims are backed by a publicly accessible certification scheme. It also calls for the prohibition of any sustainability labels that are not based on official schemes, particularly with regard to the durability and reparability of a product. Negotiations can start as soon as the European Parliament has adopted its own position on the issue.</t>
  </si>
  <si>
    <t>Belgium seeks proposals for circular programme</t>
  </si>
  <si>
    <t>The Belgian government has issued a second call for projects under its post-pandemic Belgium Builds Back Circular programme, supported by funding from the Next Generation EU scheme. Successful applicants can access between €100,000 and €1m for eco-design projects in four areas – electronic devices, clothing, furnishings and food packaging – and from €250,000 to €2m for projects aiming to replace toxic substances in products. The application deadline is June 24, 2023.</t>
  </si>
  <si>
    <t>Dutch firm raises €10m for recycling platform</t>
  </si>
  <si>
    <t>Seenons, an Amsterdam-based climate tech start-up, has secured €10m to develop its platform for bringing together companies that produce waste, logistics providers who can collect it, and waste processors who can turn it into valuable secondary materials or products. As part of its role as a facilitator, the platform also tracks data about the waste during the process. Founded four years ago and now with around 75 employees, the company collects residential, industrial and organic waste.</t>
  </si>
  <si>
    <t>UN programme issues circular guidance for banks</t>
  </si>
  <si>
    <t>The UN Environment Programme Finance Initiative has published an updated edition of its guidance to banks on the circular economy, focusing on resource efficiency and target-setting. The guidance includes indicators to promote good practice, measure progress and foster collaboration, so that banks can understand how to offer products and services that increase the circularity of their clients’ activities.</t>
  </si>
  <si>
    <t>Paris hosts circular construction day</t>
  </si>
  <si>
    <t>Promoting circularity in the construction industry will be the theme of a day-long event on July 4 in Paris organised by government institutions for all stakeholders in the capital region. Supported by France’s agency for the environment and the management of energy (ADEME), the event coincides with the launch of the circular economy roadmap developed by the regional construction federation.</t>
  </si>
  <si>
    <t>Zero waste Scotland offers circular support</t>
  </si>
  <si>
    <t>Help is available for current and potential future circular companies in Scotland from Zero Waste Scotland’s Circular Economy Business Support Service, which offers advice, guidance and capacity building for firms looking to innovate in the design and delivery of circular products, services or business models. The service covers areas such as market assessment, building the business case, lifecycle analysis, and identifying funding opportunities.</t>
  </si>
  <si>
    <t>Survey finds support for circularity as cost of living rises</t>
  </si>
  <si>
    <t>A survey of 2,000 people in the UK about their views on the circular economy has found that more of them are willing to engage with renting, repairing and re-selling goods as a result of the cost-of-living crisis. Among respondents, 57% said they would carry out as many or more repairs as last year and 55% said they buy as many or more items from second-hand markets. Consumers in the 18-34 age group were more likely to buy refurbished goods, to rent products, and to sell their own belongings on resale platforms compared with other age groups.</t>
  </si>
  <si>
    <t>Platform for reusing construction materials launched in Luxembourg</t>
  </si>
  <si>
    <t>With Luxembourg generating several hundred thousand tonnes of construction and demolition waste every year, the launch of the grand duchy’s first online platform for reusing those materials could not be better timed. Developed by Building Information Management specialists BIM-Y and supported by public and private partners, the Re:USE platform employs video scanning and artificial intelligence to make an inventory of materials within a building due for demolition. For more information about the platform and a broader view of the circular economy and its development in Luxembourg, see the 24-article dossier from InfoGreen.</t>
  </si>
  <si>
    <t>Circular benefits highlighted by World Economic Forum</t>
  </si>
  <si>
    <t>Recurring income sources, greater customer intimacy, enhanced resilience and lower costs are among a list of eight benefits of adopting a circular business model, according an article published by the World Economic Forum. The article cites a study by consultants McKinsey and NielsenIQ indicating that ESG-related claims also make companies’ products more attractive, as demonstrated by consumer spending patterns, increased loyalty and product growth.</t>
  </si>
  <si>
    <t>Start-ups use AI and chemical expertise in German accelerator</t>
  </si>
  <si>
    <t>The use of artificial intelligence to analyse waste on the production line and a process for combining carbon with green hydrogen to create sustainable ethanol are among the projects being supported in Germany's Rhine-Ruhr region by the Circular Valley initiative. Financed by the EU, German government agencies and domestic companies, Circular Valley is backing 14 start-ups from around the world on its circular economy accelerator programme. Other projects include the production of construction bricks from industrial waste and discarded plastic, and water treatment and desalination solutions.</t>
  </si>
  <si>
    <t>Blockchain to play growing role in circularity</t>
  </si>
  <si>
    <t>More examples are emerging of the ways in which blockchain technology can support the circular economy by tracking processes and products with a reliable, tamperproof audit trail. The opportunities range from manufacturing material flows to the creation of smart contracts, which execute certain operations automatically. Blockchain tracking can also be used in supply chains to promote sustainable agriculture, for example, by monitoring the journey of chemical-free fruit and vegetables from the farm to the consumer.</t>
  </si>
  <si>
    <t>Luxembourg’s wood sector goes online</t>
  </si>
  <si>
    <t>Luxembourg's national innovation agency, Luxinnovation, has developed a platform to help connect domestic wood producers with companies and consumers looking to source local supplies for the construction and furniture sectors. Currently at the testing stage, some 5,500 users were connected to the e-Holzhaff platform by mid-March, 87% of them based in Luxembourg and the rest from the Greater Region. Plans are also underway to expand the platform’s scope to include the recycling of wood waste from building demolition or renovation work.</t>
  </si>
  <si>
    <t>Luxembourg backs circularity project in Ghana</t>
  </si>
  <si>
    <t>LuxDev, the Luxembourg government’s international development agency, is supporting a circular construction project in Ghana that will see waste from cocoa production being upcycled into a bio-based building material. Currently a feasibility project involving Luxembourg architectural studio COCA, Dutch circular materials start-up the Material Innovation Center, and an architect in Accra, the aim is to achieve Cradle2Cradle certification for the material. Project funding totalling €75,000 is being provided by the Luxembourg government.</t>
  </si>
  <si>
    <t>Study points to limits of circularity for reducing resource use</t>
  </si>
  <si>
    <t>Circularity on its own will not be enough to mitigate the resource extraction driven by increased GDP; only a reduction in growth and consumption will tackle the environmental crisis, according to a study by two academics from the Tecnalia research centre in Spain's Basque Country region. Based on their study of 28 European economies over the past decade, the pair argue that GDP growth increases resource extraction four times more than the savings achieved by circular initiatives, and that more effective policy interventions are needed to rein in consumption behaviours.</t>
  </si>
  <si>
    <t>Recycling industry demands harmonised policies across EU</t>
  </si>
  <si>
    <t>Emmanuel Katrakis, secretary general of the European Recycling Industries’ Confederation, has called for more harmonised end-of-waste criteria in the EU. Addressing a dinner debate in Brussels involving EU policymakers and industry representatives, Katrakis said a level playing field was needed for the national recycling markets across the bloc, describing EU-wide end-of-waste criteria and recycled content targets as essential building blocks for the transition to a climate-neutral and circular economy.</t>
  </si>
  <si>
    <t>Paris city authority invites applicants for circularity project funding</t>
  </si>
  <si>
    <t>The Ville de Paris has issued a call for circular economy projects, offering funding of €50,000 per project in 2023 and additional backing in 2024 and 2025. The city authority is looking for firms with alternatives to single-use plastic in the restaurant/take-away food business, along with services for extending the usable life of consumer electronics goods, reusing furniture, construction materials and textiles, and developing low-energy mobility projects.</t>
  </si>
  <si>
    <t>Luxembourg’s EIF supports Swedish circularity</t>
  </si>
  <si>
    <t>The Luxembourg-based European Investment Fund and Swedish financing platform Lisa&amp; have agreed to provide €24.8m to Swedish companies with a circular business model. Supported by the EU’s InvestEU programme, the funding is designed to help start-ups offering a Product-as-a-Service, which encourages reuse and longer product lifecycles, thereby improving resource efficiency. The project is the EIF’s first to focus on service model alternatives to ownership, with its chief executive Marjut Falkstedt expecting more to follow. Lisa&amp; already specialises in financing service model companies in areas such as mobility (electric bikes and e-mopeds), office furniture, consumer goods and IT equipment.</t>
  </si>
  <si>
    <t>Report highlights circular funding gap and solutions</t>
  </si>
  <si>
    <t>The reasons behind the funding gap between financial institutions and the circular economy – and solutions for bridging it – have been outlined in a report by the FPS Economy, a Belgian government agency. Banks need to update their risk analyses when it comes to assessing circular companies, for example, while the latter should do more to work on co-creation with established partners. The report is a summary of a seminar held in Brussels last November that brought together government representatives, academics and financial firms.</t>
  </si>
  <si>
    <t>Dutch investment firm Polestar Capital adds to circular funds</t>
  </si>
  <si>
    <t>A fresh injection of funding has added €85m to Polestar Capital’s Circular Debt Fund, taking the Dutch-based firm's total raised to €187m. Polestar has made 180 portfolio investments since its launch in 2012, supporting projects in renewable energy production, energy reduction, sustainable and social housing, sustainable infrastructure, carbon reduction, sustainable mobility, circular agriculture and the circular economy in general.</t>
  </si>
  <si>
    <t>Candidates vie for Green Alley Award</t>
  </si>
  <si>
    <t>A project to manufacture packaging from mushrooms, a marketplace for electronic and electrical waste, and an app for tackling plastic pollution in the River Nile are among the six finalists competing for the Green Alley Award on April 27 in Berlin. The other candidates comprise an online marketplace for sustainable packaging, software that tracks the environmental impact of the fashion industry's supply chain, and a sorting process for plastics to make recycling easier. All six finalists will receive help to scale their start-ups, with the winner receiving €25,000 in project funding. The Green Alley Award aims to address issues of resource scarcity, pollution and reuse.</t>
  </si>
  <si>
    <t>Luxembourg launches sustainable transition online hub</t>
  </si>
  <si>
    <t>Luxembourg residents who would like to help the transition to a more sustainable future are being encouraged to visit an online hub to learn about or lead projects in their neighbourhood. By signing up for a free account with BiBe, users can find out about projects in a wide range of categories, including food resilience, climate and energy, nature and biodiversity, zero waste and an alternative economy.</t>
  </si>
  <si>
    <t>World Circular Economy Forum set for Finland</t>
  </si>
  <si>
    <t>The 2023 edition of the World Circular Economy Forum is being held in Helsinki from May 30-31, comprising four plenary sessions, 16 parallel sessions, and separate areas for networking and exhibition stands. The topics include circular business models and value chains; industry-specific sessions for clothing, electronics, energy and agriculture; and capital and governance issues. For attendees interested in the practical implementation of existing circular activities, there will be a further two days of accelerator sessions from June 1-2.</t>
  </si>
  <si>
    <t>Ireland to stage Circular Economy Hotspot</t>
  </si>
  <si>
    <t>Dublin will host the 2023 edition of the international Circular Economy Hotspot from May 29-June 1, focusing on three key themes: circular policy in practice, citizen engagement, and innovation and collaboration. The themes will be explored by referencing four areas - social enterprise, design and manufacturing, the built environment, and food systems and the bioeconomy.</t>
  </si>
  <si>
    <t>French consultancy proposes circular action plan for renewable energy sector</t>
  </si>
  <si>
    <t>Gate C, a Paris-based business consultancy specialising in the circular economy, has analysed the challenges facing the renewable energy sector and produced an action plan to resolve them. Warning of an impending “tsunami of waste” from wind farms, solar panels and batteries, along with a scarcity of supply in the face of exponential demand, Gate C’s report argues that circularity could address both issues - provided that a series of economic, regulatory and financial barriers to progress can be removed. The report goes on to propose a 13-point plan for policymakers, industry players and investors to clear those barriers.</t>
  </si>
  <si>
    <t>Gucci creates circularity hub for luxury products</t>
  </si>
  <si>
    <t>Italian luxury fashion house Gucci and its French holding company Kering have launched a ‘circular hub’ in Tuscany for the design, sustainable sourcing, production, traceability and recycling of luxury items. The initial aim is to maximise the use of recycled materials, as well as improving the durability, repairability and recyclability of Gucci’s products. However, Kering plans to extend its circularity approach to include all the group’s brands in the fashion, accessories, jewellery and eyewear sectors.</t>
  </si>
  <si>
    <t>Audi unveils refurbishing and reuse project</t>
  </si>
  <si>
    <t>Audi has become the latest car manufacturer to talk about its plans for reusing vehicle components as part of a circularity strategy, giving details of its MaterialLoop project to disassemble 100 cars and to recover steel, aluminium plastic and glass. The aim of the project is to reuse components, such as steel frame parts, in the production of new cars - rather than simply recycling them into a lower-value product such as structural steel for the construction industry. Although the project will run until the end of April, Audi has already produced coils featuring MaterialLoop steel for use in the inner door parts of new cars.</t>
  </si>
  <si>
    <t>Switzerland bucks growing trend for second-hand goods</t>
  </si>
  <si>
    <t>A survey on attitudes to the circular economy among 6,000 people in Switzerland has found overwhelming support for the concept and a clear understanding of the benefits, but very little desire to take part in the sharing of products or the purchase of second-hand items. The study focused on smartphones, vacuum cleaners, washing machines and clothing, which respondents prefer to give away after use. Financially, they do not consider it worth buying second-hand devices or having items repaired, and they also have concerns over product quality of used goods. The survey results are in sharp contrast with the growing number of start-ups in northern Europe providing refurbished electronic devices for purchase or rental, while consumer surveys in countries such as Luxembourg have underlined the popularity of second-hand items.</t>
  </si>
  <si>
    <t>Luxembourg’s LIST heads EU battery project</t>
  </si>
  <si>
    <t>The Luxembourg Institute of Science and Technology has been chosen to lead Opincharge, an EU Horizon Europe project to study the solid state interfaces of lithium-ion batteries, so that future iterations will be better, safer and more recyclable. The project, which has received €5m from the European Commission and €700,000 from the Swiss government, aims to develop prototype nanoanalytical instruments for analysing current and future battery interfaces. Luxembourg is also home to Circu Li-ion, a start-up that aims to increase the use of battery cells, claiming that 80% of them can be reused.</t>
  </si>
  <si>
    <t>Start-ups selected for Google’s circular economy accelerator</t>
  </si>
  <si>
    <t>Google has chosen 12 firms with innovative, circular ideas in sectors such as clothing, food and waste recycling for support by its business accelerator, Google for Startups: Circular Economy. Among them are Beni, which has developed a browser extension that makes it easier to shop for second-hand items, Ishitva Robotic Systems, which uses machine learning and artificial intelligence to identify, sort and recycle valuable material, and Octopus, an Indonesian start-up that is aiming to tackle the country’s landfill problems. Later in the spring, Amazon will announce the winning entries for its sustainability accelerator, which sought applications from start-ups in two areas - recycling technologies and consumer products.</t>
  </si>
  <si>
    <t>First contracts for Luxembourg earth bricks</t>
  </si>
  <si>
    <t>Geobloc, a Walferdange start-up that has developed bricks made of local clay mixed with soil excavated from Luxembourg building sites, has secured its first contracts to supply construction projects. Life cycle analysis shows that Geobloc’s bricks require a fraction of the energy needed to produce conventional building bricks. In use, the bricks are able to regulate humidity levels and extreme temperatures, and are highly fire-resistant.</t>
  </si>
  <si>
    <t>Luxembourg construction project opts for straw insulation</t>
  </si>
  <si>
    <t>An office building in Bettembourg has become the latest to use straw-based insulation panels that can also act as stud walls within a building. Developed by Belgium-based Paille-Tech, the panels combine a wooden frame with a straw-and-clay interior. About 120kg of clay is used for every square metre of straw to provide a bio-sourced wall panel that provides insulation, fire protection and improved air quality.</t>
  </si>
  <si>
    <t>Mixed verdict from EU bioeconomy report</t>
  </si>
  <si>
    <t>EU countries are moving in the right direction to support the bloc’s bioeconomy, but the pressure on land use from agriculture and forestry are a growing concern, according to the EU’s Joint Research Centre, which calls for action to reduce consumption and increase skills. Its report covers the five objectives of the EU’s bioeconomy strategy: ensuring food and nutrition security; managing natural resources sustainably; reducing dependence on non-renewable, unsustainable resources; mitigating and adapting to climate change; and strengthening European competitiveness and creating jobs.</t>
  </si>
  <si>
    <t>Luxembourg creates grouping for circularity</t>
  </si>
  <si>
    <t>Luxembourg's Ministry of the Economy and Chamber of Commerce have joined forces to create Terra Matters, an economic interest group (GIE), to help companies in the grand duchy make the transition to a circular economy business model. Its first mission will be to commercialise the Product Circularity Data Sheet at international scale, a communication system developed in Luxembourg that provides access to trustworthy information about a product’s circular properties - enabling it to be reused, repaired or recycled as necessary.</t>
  </si>
  <si>
    <t>EU report highlights limits of textile circularity</t>
  </si>
  <si>
    <t>A study by the European Environment Agency reveals the rapidly growing volume of textile waste being exported to Africa and Asia - and an uncertain fate - due to limited recycling and reuse facilities in Europe. While recycling has a role to play in circularity, it offers only a partial solution to the problem of textile waste, with a greater focus required on tackling over-consumption and redesigning clothes to make them easier to repair and reuse. In Luxembourg, the latter approach has been adopted by BENU Couture, a start-up that creates new fashionwear from existing clothes.</t>
  </si>
  <si>
    <t>Circular products create data storage challenge</t>
  </si>
  <si>
    <t>Two solutions for managing and exploiting the information created by digital passports are put forward in a paper from the Tony Blair Institute for Global Change. The first is a global circular economy commons, effectively a Wikipedia-like public database of information about products, materials and practices; the second comprises a set of models for publicly-available circular services, covering areas such as national/regional material and product registries, refurbishment platforms and local repair services.</t>
  </si>
  <si>
    <t>Amundi launches circular investment fund</t>
  </si>
  <si>
    <t>Europe’s largest investment firm, Amundi, has launched a fund for investors looking to support circular economy projects. CPR Invest – Circular Economy, available from Amundi subsidiary CPR AM, focuses on four areas: the supply chain (bio-based materials, insulation products, green chemicals, renewable energies), industry (precision agriculture, non-plastic packaging, electric mobility), responsible consumption (organic food and alternative proteins, sharing economy), and resource recovery (waste and water management). Similarly, Swiss investment firm Pictet Asset Management has launched Pictet-Regeneration, an equity fund domiciled in Luxembourg designed to support biodiversity, to repurpose products or extend their lifetimes, and to promote circular business models.</t>
  </si>
  <si>
    <t>Canadian province of Alberta funds circularity projects</t>
  </si>
  <si>
    <t>The recycling of asphalt from roofing materials, sequestering carbon in concrete, and a composite material for industrial applications made from hemp stalks are among the projects receiving C$58m from the government of Alberta’s Circular Economy Challenge, a circularity initiative designed to commit a total of C$528m in public and private investment. If successful, the projects being supported will save a cumulative 4 million tonnes of greenhouse gas emissions by 2050.</t>
  </si>
  <si>
    <t>Circular cities group provides snapshot of progress, highlighting best practices in Wiltz</t>
  </si>
  <si>
    <t>The largest-ever assessment of circularity in European cities has been compiled by members of the Circular Cities Declaration, identifying eight key trends and four barriers to achieving greater circularity. The analysis reveals that half of the 40 cities included have circularity strategies in place or in development - providing useful case studies within the report - but that progress is being held back in other places by a lack of relevant knowledge. The Luxembourg municipality of Wiltz is highlighted in a best practice case study for the circularity principles that guided its construction of a new school campus. The municipality will hold its 5th circular economy day on April 26, bringing together key actors in Luxembourg's transition to a circular economy: register here.</t>
  </si>
  <si>
    <t>EU and industry figures join forces at Circular Economy Stakeholder Conference</t>
  </si>
  <si>
    <t>Frans Timmermans, the EU's executive vice-president for the European Green Deal, told delegates at the Circular Economy Stakeholder Conference that “Europe must transition to a circular economy and power it with renewable energy to remain sovereign and competitive.” The hybrid conference on February 27-28 provided discussions and workshops devoted to EU policy on circularity, the role of industries such as chemicals, cars and textiles, and the importance of biodiversity in an era of climate change.</t>
  </si>
  <si>
    <t>Poland to host circularity event in October</t>
  </si>
  <si>
    <t>The sixth edition of the Circular Week conference will be held in Warsaw, along with separate events at different locations across Europe, from October 23-27. Aside from a congress on October 25, each of the other days will be dedicated to a specific topic: plastic packaging and the chemical industry; food and the circular bioeconomy; construction and circular cities; and textiles and fashion.</t>
  </si>
  <si>
    <t>Circularity gap widens as extraction increases</t>
  </si>
  <si>
    <t>A rise in raw material extraction has led to a fall in the circular share of the world economy from 8.6% in 2020 to 7.2% in 2023, according to a study by Deloitte and specialist consultants Circle Economy, whose figures are based on the volume of materials being recycled for a second life. A more circular economy would lead to a one-third reduction in current extraction levels, say the report's authors, who set out circular solutions for four global systems: agri-food; mobility and transport; manufactured goods and consumables; and the built environment.</t>
  </si>
  <si>
    <t>Phone refurbishment start-up includes network subscription</t>
  </si>
  <si>
    <t>A Swedish start-up, Refurbly, has taken the refurbishment and rental of mobile phones business model a stage further by accompanying them with a low-cost network subscription from mobile operator Verbal, phone insurance and a repair service. The company says its handsets are up to 40% cheaper than new models and are backed by a two-year guarantee. The popularity of refurbished phone services is growing, with Austrian-based Refurbed and Germany’s everphone among the start-ups present in Europe and Singapore-based Reebelo operating in Asia and Australia.</t>
  </si>
  <si>
    <t>Luxembourg scientists join EU metal recycling project</t>
  </si>
  <si>
    <t>The Luxembourg Institute of Science and Technology is supporting TransZeroWaste, an EU Horizon Europe project launched in January to promote decarbonisation and recycling in the European steel industry. The aim is to upgrade low-grade iron ore by enriching it with a recycled iron-rich production residue, mill scale. To achieve this, LIST and its project partners will develop low-carbon technologies such as cold pelletising and briquetting, hot microwave pelletising, and magnet-supported hydrometallurgy.</t>
  </si>
  <si>
    <t>Recycling start-up tags plastic bottles</t>
  </si>
  <si>
    <t>UK start-up Polytag has developed an ultra-violet tag reading technology that will enable content and production information to be printed onto plastic packaging, enabling it to be identified for recycling and/or used as part of a digital deposit return scheme. Designed to help brands, legislators and recycling operators to trace plastic packaging, the system comprises a 2D UV printer at the production stage and a ruggedised tag reader at a recycling centre. In the EU, a digital watermarking initiative for packaging recycling entitled HolyGrail 2.0 has just entered its third and final project phase with industrial-scale testing at facilities in France and Germany.</t>
  </si>
  <si>
    <t>Closed Loop supports US composting pilot study</t>
  </si>
  <si>
    <t>US-based circular investment firm Close Loop Partners is supporting a study to test the disintegration of more than 30 types of certified compostable products from the food and drinks industry, using facilities with varying climates, composting methods and equipment. With only 4% of food waste currently composted in the US, the compostable packaging market is expected to grow 17% a year between 2020 and 2027. The study comes amid calls for a sharp reduction in all forms of packaging to tackle the problem of consumer waste.</t>
  </si>
  <si>
    <t>EU programme to support bioeconomy strategies</t>
  </si>
  <si>
    <t>Projects are being launched in Ireland, Germany, Spain, Slovakia and Greece under the EU’s Robin programme to promote bioeconomy policies and best practices at a regional level. The aim is to help regional authorities achieve their circular bioeconomy goals by analysing current policies, reviewing good practices and working with regional stakeholders to develop a bioeconomy governance model. A digital toolbox is being developed to test project outcomes.</t>
  </si>
  <si>
    <t>Luxembourg expands policies for circular construction</t>
  </si>
  <si>
    <t>A series of policies to encourage reuse in the construction sector are being rolled out by the Luxembourg government as part of its broader move to a circular economy. A set of voluntary recommendations for circular deconstruction and demolition is now available for local authorities to use in public tender documents for developers. Feedback from the current trial period will be used to fine-tune a final government policy document. A complementary guide to best practices will be published later this year, covering deconstruction and the sorting and reuse of construction materials. An online portal providing information on a range of building materials and their potential for reuse is scheduled for January 1, 2025, based on a field research study launched in 2022.</t>
  </si>
  <si>
    <t>Bulgaria unveils circularity funding for businesses</t>
  </si>
  <si>
    <t>Companies in Bulgaria are to be offered grants for buying production equipment that will reduce waste and the resources used for its disposal from a €92m co-financing fund supported by the EU. The funding, covering up to 50% of a project’s cost, will vary according to the size of the company and will focus on tackling plastic packaging and other single-use plastics.</t>
  </si>
  <si>
    <t>Canada launches food circularity programmes</t>
  </si>
  <si>
    <t>The Guelph-Wellington area of southeast Canada has developed two circular economy programmes - Our Food Future and the Circular Opportunity Innovation Launchpad – to tackle food waste, create social value, foster business growth, and address food insecurity. The former aims to increase food access, support new circular food businesses, and find ways of both reducing waste and redefining it as a resource. COIL is an accelerator designed to help firms develop circular business models through a combination of guidance, collaborations with other circular companies in the region, and financial support.</t>
  </si>
  <si>
    <t>Dutch firm Fairphone raises cash for expansion</t>
  </si>
  <si>
    <t>Fairphone, a Dutch social enterprise, has secured €49m of fresh investment as it bids to grow its business in more sustainable mobile phones and other consumer electronics. The funding will also be used to increase the amount of fair and recycled materials in the product portfolio by extending its work with the Fairtrade organisation to source from artisanal mines in Africa and South America, and by further developing its fair wage programmes in Asia.</t>
  </si>
  <si>
    <t>US venture capital fund backs circular economy</t>
  </si>
  <si>
    <t>Buoyant Ventures, a female-owned venture capital firm, has closed its first fund after raising $76m in commitments - plus a further $5.7m in co-investments – to tackle climate change through the use of digital technology in a range of areas, including the circular economy. The Microsoft Climate Innovation Fund and Bank of America were among the investors in the US firm that launched in 2020 and has made nine investments to date, with Buoyant Ventures' focuses including the areas of energy, mobility, agriculture and the built environment.</t>
  </si>
  <si>
    <t>UK fintech secures funding for device rental</t>
  </si>
  <si>
    <t>Raylo, a London-based financial technology start-up, has raised €124m for its payments platform that allows consumers to pay a subscription for an electronic device instead of purchasing it outright. Unwanted smartphones, tablets and laptops are returned, refurbished and remarketed by Raylo, which has received B-Corp certification for its sustainable approach. The latest cash injection takes its total raised to €170m.</t>
  </si>
  <si>
    <t>Free tool bank created in Luxembourg for DIY enthusiasts</t>
  </si>
  <si>
    <t>An initiative to share DIY tools for free is underway at Esch-sur-Alzette, encouraging individuals and local firms to donate items which can then be borrowed for up to a week. Users can register on the 'Gutt Geschier' website, view and reserve the tools available, collect them from Facilitec, a circular economy hub in Esch, and return them to the same place. The aim is to give a second life to unwanted or little-used items and to reduce the need for new tools.</t>
  </si>
  <si>
    <t>Luxembourg cooperative gives unwanted groceries a second chance</t>
  </si>
  <si>
    <t>On.perfekt, a cooperative organisation, has opened a shop in Marnach selling unwanted fruit, vegetables and other groceries as a way to counter food waste in Luxembourg. The issue is being addressed by a growing range of initiatives led by government agencies and civil society groups in the grand duchy, with unsold or unwanted produce being donated by growers and food retailers to social stores and restaurants.</t>
  </si>
  <si>
    <t>UK Green Building Council publishes roadmap to boost circularity in construction</t>
  </si>
  <si>
    <t>The UK Green Building Council has released a toolkit entitled ‘System enablers for a circular economy’ that sets out eight key requirements for moving to greater circularity in the built environment. Designed for a readership ranging from designers and product manufacturers to builders, authorities and recyclers, the guidance highlights issues such as the need for a secondary market for building materials, supportive legislation and tax regimes, sustainable finance, and educating the various stakeholders about circularity.</t>
  </si>
  <si>
    <t>Horizon Europe issues call for circular and bioeconomy ideas</t>
  </si>
  <si>
    <t>The EU’s Horizon Europe programme is inviting funding proposals to help implement its Circular Economy Action Plan and bioeconomy strategy. Projects should help to increase circularity, reduce greenhouse gas emissions, encourage more sustainable behaviours by EU citizens, and enhance the sharing of knowledge across the bloc’s regions and member states. In terms of eligible subject areas, the list includes batteries and vehicles, electronics and ICT, packaging, plastics, textiles, construction and buildings, food, water, and nature-based solutions. The first of two deadlines for submissions is March 28 this year.</t>
  </si>
  <si>
    <t>Luxembourg start-ups champion reusable detergent and food packaging</t>
  </si>
  <si>
    <t>Wasch, a start-up based in Dudelange’s Innovation Hub, has developed a range of environment-friendly liquid detergents that are manufactured in Luxembourg and packaged in either glass bottles or recycled plastic containers that can be returned for refill after use. Wasch says the detergents are 96% biodegradable, mostly within days, and that plans are under way for versions of the product in solid form. LuLoop, another Dudelange-based start-up which last year launched reusable, deposit-return cups for Luxembourg’s coffee shops, is now adding reusable packaging for restaurant and take-away food as the grand duchy introduces a ban on single-use items. LuLoop’s products, which can be branded for individual businesses, include reusable boxes, bowls and transparent lids for meals ranging from hamburgers to sushi.</t>
  </si>
  <si>
    <t>Danish firm markets office furniture on subscription</t>
  </si>
  <si>
    <t>Nornorm, a Danish start-up, has created a subscription business model for office furniture which is restored and reused at the end of the rental contract, giving companies greater flexibility at a time when remote working is redefining the need for office space. Currently operating in 11 European countries, the company raised €110m in a December funding round that will be used to further develop its regional network and to launch in the US.</t>
  </si>
  <si>
    <t>Belgian start-up creates melting stitch to ease recovery of used clothes</t>
  </si>
  <si>
    <t>Belgian company Resortecs has developed a process to make the recycling of clothing more efficient, thanks to a breakthrough in stitching that enables garments to be easily disassembled and reused. Designed for fashion brands and workwear alike, Resortecs says that its Smart Stitch heat-dissolvable sewing thread, coupled with a low-emission heating system, enables 90% of clothing fabric to be recovered, allowing companies to reduce their production costs and carbon footprints.</t>
  </si>
  <si>
    <t>Additive manufacturers offered recycled metal powders sourced from scrap</t>
  </si>
  <si>
    <t>As interest grows in additive manufacturing, Norwegian-Italian start-up f3nice has developed a process for turning scrap metal into the powders needed for 3D printing, offering the same product quality as virgin metal but saving 70% of the energy and 90% of the carbon dioxide emissions during production. The company sources bulk scrap from decommissioned oil and gas facilities, along with chips from CNC machines, to produce powders for a range of 3D technologies, such as laser-powder fusion, binder jetting and direct energy deposition.</t>
  </si>
  <si>
    <t>Scottish company extracts chitin biopolymer from shellfish waste</t>
  </si>
  <si>
    <t>Scottish circular economy firm CuanTec is partnering with global consulting and engineering company Wood to develop separation facilities for extracting chitin - a fully compostable biopolymer used by the pharmaceutical, cosmetics and food industries - from shellfish waste. Wood will provide the engineering design for the facilities at a plant in Glenrothes, enabling CuanTec to deploy its proprietary, emission-free technology to process seafood waste.</t>
  </si>
  <si>
    <t>NGO initiatives find applications for human hair</t>
  </si>
  <si>
    <t>Dung Dung, a Belgian non-profit organisation, has developed matting made from human hair collected from the country’s hairdressers that can be used to collect oil and other hydrocarbons from polluted waterways. In France, more than 5,000 hairdressing salons are members of the Coiffeurs Justes network, which collects hair for recycling into products for tackling sea pollutants and providing heat or sound insulation.</t>
  </si>
  <si>
    <t>US government supports bioeconomy projects</t>
  </si>
  <si>
    <t>The US Department of Agriculture is allocating $9.5m for three bioeconomy projects designed to produce biodegradable bioplastics for food and drinks packaging from food waste, bio-binders for asphalt from pig manure, and thermoplastic rubber for pavements from soybean oil. The funding stems from the wider Bioproduct Pilot Program, which aims to harness agricultural commodities for the manufacturing of construction and consumer products.</t>
  </si>
  <si>
    <t>New rules on waste come into force in Luxembourg</t>
  </si>
  <si>
    <t>Luxembourg’s Waste-Resources Law came into effect on January 1, introducing the mandatory provision of reusable plates, packaging and cutlery utensils in the hospitality sector and at certain events. Other aspects of the law, such as the installation of recycling points for single-use fruit and vegetable packaging in the country’s supermarkets, will apply from July 1. To support reuse, the government plans to help fund mobile utensil washing facilities for events and to increase local recycling volumes.</t>
  </si>
  <si>
    <t>OECD provides guidelines for circular policymakers</t>
  </si>
  <si>
    <t>The OECD has produced a paper on both the synergies and the trade-offs needed to create a circular economy from a policy perspective, focusing on four areas: reducing primary production and increasing resource efficiency; developing markets for secondary products; preventing waste; and building resilience to geopolitical supply risks. The paper also highlights the importance of dovetailing circular policies with other environmental programmes and of coordinating activities internationally, particularly where trade is concerned.</t>
  </si>
  <si>
    <t>French circular clothing law takes effect</t>
  </si>
  <si>
    <t>The start of 2023 marked the application of France’s Anti-Waste for a Circular Economy law, which obliges major clothing brands to provide consumers with detailed information on product reparability, recyclability, sustainability, reuse possibilities, recycled material content, use of renewable resources, traceability and the presence of plastic microfibres. This eco-label information needs to be available both in-store and online.</t>
  </si>
  <si>
    <t>EU to fund new sustainability programme</t>
  </si>
  <si>
    <t>The European Commission and the European Bank for Reconstruction and Development have signed an agreement worth up to €450m that aims to unlock €2.1bn of public and private investment in a range of areas, including the circular economy and bioeconomy. The projects will be undertaken in 12 eastern European member states.</t>
  </si>
  <si>
    <t>Goldman Sachs closes $1.6bn climate fund</t>
  </si>
  <si>
    <t>Goldman Sachs Asset Management has closed its Horizon Environment &amp; Climate Solutions fund with $1.6 billion to invest in projects in five areas: clean energy, sustainable transport, waste and materials, sustainable food and agriculture, and ecosystem services. The fund is Goldman Sachs’ first private markets strategy dedicated to climate and environmental solutions.</t>
  </si>
  <si>
    <t>Wiltz to stage circularity round table</t>
  </si>
  <si>
    <t>A panel of experts will be providing an introduction to the circular economy, its main characteristics and advantages at a lunchtime event in Wiltz on February 9. Organized by the town council, the Wiltz Circular Innovation Hub and the infogreen.lu media platform, the discussion will be the first in a series of circularity events to be held this year in Luxembourg.</t>
  </si>
  <si>
    <t>Diary date for Circular Economy Stakeholder Conference</t>
  </si>
  <si>
    <t>The sixth annual Circular Economy Stakeholder Conference will be held in a hybrid format on February 27 and 28 under the title: 'Recovery, Open Strategic Autonomy and Resilience'. Organised by the European Economic and Social Committee and the European Commission, the first day will look at circularity in terms of regulatory innovations and economic resilience, with the second devoted to biodiversity and climate issues.</t>
  </si>
  <si>
    <t>Webinar for the circular transition in construction</t>
  </si>
  <si>
    <t>The UK Green Building Council will publish its latest report on the key enablers for the construction industry’s move to circularity during a webinar on January 31. The event will also feature a Q&amp;A session with a panel of experts.</t>
  </si>
  <si>
    <t>Scientific American publishes series of circular economy reports</t>
  </si>
  <si>
    <t>Scientific American has published a dossier of 10 articles about the circular economy, covering a range of issues such as the potential goldmine of rare-earth elements in electronics waste, environmental concerns over biofuels, circularity in the construction industry, and why recycling isn’t the answer to the problem of plastic pollution. Other topics include the use of sustainable materials in manufacturing and the recycling of clothing.</t>
  </si>
  <si>
    <t>Technology focus for US circularity conference</t>
  </si>
  <si>
    <t>The REMADE Institute, a 163-member public-private partnership created by the US Department of Energy, and the Ellen MacArthur Foundation will be staging the REMADE Circular Economy Technology Summit and Conference in Washington DC on March 20 and 21. Along with discussions, the event will also showcase projects designed to increase the reuse, remanufacturing, recovery and recycling of energy-intensive materials, such as steel, aluminium, polymers, fibres, paper, textiles and electronic waste.</t>
  </si>
  <si>
    <t>Circularity could sharply reduce emissions in auto manufacturing</t>
  </si>
  <si>
    <t>Circularity could play a larger role in the automotive industry by reusing materials needed for the production phase, according to consultants Bain &amp; Co, who believe that emissions from materials could be reduced by up to 60% over the next 18 years. This would help to raise the potential recyclable content of new cars to 97% by 2040. Recycled materials currently account for only 23% of the materials used for passenger cars in Europe, while the recyclable content stands at 78%.</t>
  </si>
  <si>
    <t>Office carpeting available for lease in Luxembourg</t>
  </si>
  <si>
    <t>The ‘Product as a Service’ business model is being extended to office carpets in Luxembourg, with Composil offering to install, maintain and later reuse or recycle carpets as an alternative to ownership and disposal. The company, which cleans 2.5 million square metres of carpet per year in France, Belgium and Luxembourg, says that its carpet lease service also sends the waste accumulated during cleaning to a specialist third party that ensures its reuse in water treatment plants or construction products.</t>
  </si>
  <si>
    <t>Covestro uses biotech for plastics</t>
  </si>
  <si>
    <t>German plastics manufacturer Covestro has built a new laboratory at its Leverkusen headquarters as part of a drive to use biotechnology for the production and recycling of plastics. Covestro has developed a process for making aniline, a key component of plastics, from either sugar beet or straw, and is now working on scaling up production. The expansion also provides space for a new research group, Nenzy, which will receive €2.5m from the German ministry of education and research over a five-year period to support its work on the enzymatic recycling of end-of-life products and plastic waste.</t>
  </si>
  <si>
    <t>France seeks mechanical processes for plastics reuse</t>
  </si>
  <si>
    <t>The French government has issued a second call for projects to support under its €300m programme for plastics recycling, following up on its initial invitation in January for chemical and enzymatic processes with a call for mechanical techniques. Both are designed to produce a recycled raw material that could be used as an alternative to virgin plastic. The programme, which is open to candidate projects until June 30, 2023, is part of France 2030, a €54bn five-year industrial strategy for new technology and decarbonising the economy.</t>
  </si>
  <si>
    <t>EU targets algae for bioeconomy growth</t>
  </si>
  <si>
    <t>The European Commission is set to implement a 23-point action plan to develop the algae sector in the EU, currently one of the world’s largest importers of seaweed. Action points include facilitating access to suitable marine spaces for seaweed farming, developing standards for algae ingredients and contaminants, assessing its potential as a fertiliser, funding research programmes and pilot projects, and conducting studies into seaweed’s role as a carbon sink. Demand from the EU's food, cosmetics, pharmaceutical and energy sectors is expected to hit €9bn by 2030.</t>
  </si>
  <si>
    <t>Insect farming start-up builds Vietnam production plant</t>
  </si>
  <si>
    <t>Flyfarm, an Estonian-based start-up, is building its first production plant in Vietnam as it looks to harness demand for insect protein for animal feed and fertiliser for agriculture. The firm, which announced €3m in seed funding in October, expects to complete the 15,000-square-metre facility near the port of Saigon in 2023. With a production capacity of 17,500 tonnes a year, the fertiliser will be sold locally, while the fat and protein products will also be marketed in Europe. Flyfarm’s chief technology officer, Nathalie Berezina, previously held the same position with French company Ynsect, which has announced plans to build the world’s largest insect farm in Poulainville, northern France, with an annual production capacity of 200,000 tonnes.</t>
  </si>
  <si>
    <t>European Commission under fire for circular economy rules on packaging</t>
  </si>
  <si>
    <t>European Commission plans to reduce packaging waste have been criticised by a 30-million-strong consumer group for not going far enough, and by industrial companies for going too far. As the latest instalment of the EU’s circular economy programme, the plans include a requirement for packaging to be recyclable by 2030, an increase in the recycling of bottles and cans, and restrictions on single-use packaging such as cups, plates and toiletry mini-packs. However, the measures have been attacked as inappropriate by hospitality, packaging and soft drinks groups, while the European Environmental Bureau, a consumer lobby, argues that the proposals are a watered-down version of the Commission’s original plans.</t>
  </si>
  <si>
    <t>Circular housing projects start in Luxembourg</t>
  </si>
  <si>
    <t>Groundwork is underway on a local authority housing development in Wiltz that will provide 102 building lots for homes equipped with heat pumps, solar panels and rainwater collection tanks along with cycle paths and green spaces. The lots range in price from €130,000 to €575,000 for between 200 and 1,300 square metres. Meanwhile, the first phase of another sustainable housing development is under way in in Wiltz's Wunne mat der Wooltz district to provide 1,085 affordable homes for 2,500 people on a 34-hectare site. Led by the government housing fund (Fonds du Logement), the development will also feature a new school and links to road and rail hubs.</t>
  </si>
  <si>
    <t>Dutch blockchain firm nets funding for product passports</t>
  </si>
  <si>
    <t>Circularise, a blockchain start-up based in The Hague, has raised €11m in a Series A funding round to develop its platform for creating digital product passports that can be stored securely on its blockchain. A passport could contain details of a product’s raw materials, such as chemicals, plastics and metals, and provide manufacturers with product tracking and potential post-use recovery throughout the supply chain.</t>
  </si>
  <si>
    <t>EU programme aims to unlock finance for circular projects</t>
  </si>
  <si>
    <t>Entrepreneurs, investors and policymakers have begun work on InvestCEC, a new initiative under the EU’s Horizon-Europe programme designed to unlock the financing needed to deploy circular projects in European cities and regions. The initiative aims to develop a blueprint for delivering circular projects through four specific stages: understanding local conditions and identifying the key needs to be addressed by circular projects; selecting entrepreneurs to meet those needs; coaching the entrepreneurs; and launching an investment programme to fund the projects. The blueprint will be tested in the Austrian city of Klagenfurt, with the tools and materials being made openly available to other regions and cities.</t>
  </si>
  <si>
    <t>French start-up raises finance for alternative protein</t>
  </si>
  <si>
    <t>Yeasty, a Paris-based company founded last year, is to commercialise its process for turning leftover brewer’s yeast into an alternative protein source for the food industry after securing €1.4m in a funding round led by Asterion Ventures. The financing will cover the industrial production of samples for food manufacturers to test the protein source in recipes such as meat alternatives, high-protein biscuits and sports bars. The company hopes to build a production facility with an annual capacity of 5,000 tonnes by 2025.</t>
  </si>
  <si>
    <t>Luxembourg seeks candidates for Circular by Design Challenge</t>
  </si>
  <si>
    <t>Economy minister Franz Fayot has launched the third edition of Luxembourg’s Circular by Design Challenge, which aims to create partnerships between public bodies in the grand duchy and European companies and entrepreneurs. Candidate projects are being sought in four areas: sustainable business events, multifunctional urban furniture, products that represent Luxembourg, and development co-operation and humanitarian aid. Successful candidates will receive 12 weeks of coaching by experts, an €8,000 prize, networking with organisations in Luxembourg and the chance to pitch their solution to industry. Applications close on January 9, 2023, with the selected participants announced on February 3.</t>
  </si>
  <si>
    <t>COP27 events in Egypt spotlight circular economy</t>
  </si>
  <si>
    <t>The circular economy’s role in addressing issues ranging from the food and energy crises to poverty and the built environment was discussed during a series of side events at the COP27 climate summit at Sharm El-Sheikh. Other sessions looked at the circularity challenges of the food chain, the route to a circular fashion industry, and a circular finance roadmap for financial institutions. Organisations involved in these events included the Ellen MacArthur Foundation, the European Circular Economy Stakeholder Platform and Circle Economy. In a separate move, Canada’s Circular Innovation Council announced the launch of a circular innovation marketplace for channelling public procurement to companies in the clean tech and circularity sectors.</t>
  </si>
  <si>
    <t>World Circular Economy Forum heads from Rwanda to Finland</t>
  </si>
  <si>
    <t>Circular business models, trade links, policies and partnerships were all on the agenda of the World Circular Economy Forum held in the Rwandan capital Kigali from December 6-8, along with accelerator sessions focusing on African companies. Next year’s forum will be held in Helsinki from May 30 to June 1, organised jointly by Finnish innovation fund Sitra and regional business organisation Nordic Innovation.</t>
  </si>
  <si>
    <t>UK exhibition spotlights circularity in architecture</t>
  </si>
  <si>
    <t>The UK’s Royal Institute of British Architects is hosting the ‘Long life, Low Energy: Designing for a circular economy’ exhibition at its London headquarters until April 1, 2023, aiming to demonstrate how circularity can help to deliver sustainable, net zero construction. Divided into three sections, the exhibition looks at demolition, recent examples of best practice in retrofitting and reuse, and research into architecture that is circular by design.</t>
  </si>
  <si>
    <t>Focus on circular construction in Luxembourg</t>
  </si>
  <si>
    <t>Circular construction methods, sustainable materials and energy efficiency in Luxembourg, whether for newbuilds or renovations, are the subject of a dossier compiled by website infogreen.lu. Entitled Bâtir d'autres modèles, it features 34 articles about sustainable construction methods, products and policies for both private/social housing and office buildings, along with project financing.</t>
  </si>
  <si>
    <t>Stellantis sets circular targets in auto industry</t>
  </si>
  <si>
    <t>Automotive group Stellantis has launched a Circular Economy Business Unit with a target of more than €2bn in revenues by 2030. The group, which combines the Fiat Chrysler and PSA (Peugeot-Citroën) brands, aims to extend the product life of both parts and vehicles through a four-step approach of remanufacturing, repair, reuse and recycling. A reconditioning and reuse hub is to open at its Mirafiori site in Italy next year, with plans for a further seven refurbishing centres across Europe. A reconditioned parts label, SUSTAINera, will also be launched, offering an 80% saving in material use and a 50% reduction in energy consumption compared to the production of new parts. The move coincides with Renault’s launch of a circular economy company called The Future is Neutral, for which it has set a revenue target of €2.3bn by 2030.</t>
  </si>
  <si>
    <t>Marks &amp; Spencer embraces clothing rental</t>
  </si>
  <si>
    <t>One of the UK’s largest retailers, Marks &amp; Spencer, has partnered with clothing rental platform Hirestreet for the distribution of a 78-piece 2022 autumn/winter capsule collection of outfits, footwear and accessories. Capsules of 10 different outfits can be rented for five days from £39, and for a maximum of one month. However, an academic study has found that clothes rental – seen by some as a solution to the fashion industry’s carbon footprint – may not be as sustainable as simple disposal, given the impact of transport logistics and dry cleaning. Greater circularity involves design for a longer product lifetime, the ability to repair and the use of emission-free vehicles for deliveries and collection.</t>
  </si>
  <si>
    <t>Start-up develops technology for reusing industrial carbon</t>
  </si>
  <si>
    <t>Paebbl, a Swedish start-up, is targeting the carbon capture market with an innovative process that turns industrial plant carbon into a mineralised material for the construction industry and other sectors. The firm has received $8m in funding to scale its technology, which involves adding water and ground silicate rock to industrial carbon to create a powder that can be used as a filler for cement or in paper manufacture.</t>
  </si>
  <si>
    <t>EU supports digital health devices to boost circularity</t>
  </si>
  <si>
    <t>A four-year EU Horizon project is supporting the development of four digital health devices that will promote circularity in a sector currently producing an increasing amount of e-waste. The Digital Health in a Circular Economy (DiCE) group is bringing together 20 organisations from nine countries to create an e-paper label, a smart wearable sensor, a smart pill box, and an endo-cutter used in surgical procedures.</t>
  </si>
  <si>
    <t>Bioeconomy strategies growing across EU</t>
  </si>
  <si>
    <t>A total of 194 regions have developed 359 separate strategies for the bioeconomy, or are in the process of doing so, according to a study for the EU’s Knowledge Centre for Bioeconomy. The strategies range from bio-based energy production and organic waste recycling to the processing of agricultural residues, and draw on raw materials such as food and household waste, forest and agricultural biomass, industrial waste and sewage.</t>
  </si>
  <si>
    <t>Amsterdam to host major biomethane facility</t>
  </si>
  <si>
    <t>The world’s largest biomethane liquefaction plant, producing 200,000 tonnes a year from 2025, is to be built in Amsterdam’s port area to provide tankers and lorries with an alternative to fossil fuels. Titan, a supplier of low- and zero-carbon fuels, will build and operate the plant on leased land next to its existing berth in the port, with the biogas feedstock provided by Dutch producer BioValue.</t>
  </si>
  <si>
    <t>Biomass demand raises environmental concerns</t>
  </si>
  <si>
    <t>Rapidly increasing demand for biomass is putting the industry under pressure to deliver the goods without harming the environment, according to the European Commission, which warns that the ‘availability gap’ for biomass could reach somewhere between 40% and 70% by 2050. To make best use of limited resources, experts suggest using biomass in a series of six stages of decreasing value: use in wood-based products, extending their product life, reuse, recycling, bioenergy combustion and disposal.</t>
  </si>
  <si>
    <t>Luxembourg environmental groups call for more repairing and reuse</t>
  </si>
  <si>
    <t>Citizen groups Mouvement Écologique and Oekozenter Pafendall launched a public awareness campaign on October 15 - International Repair Day - to promote repairing, sharing and reuse in Luxembourg. Supported by the Ministry of the Environment, Climate and Sustainable Development, the ‘fixit! Flécken.Léinen.Notzen.’ campaigners issued a set of 18 demands to both the European Union and the Luxembourg government. Issues raised include the right to repair, access to spare parts, extending the scope of eco-design labels, and obliging manufacturers to stop using software that cuts short an appliance’s useful life.</t>
  </si>
  <si>
    <t>Ireland and Wallonia to launch circular economy support schemes</t>
  </si>
  <si>
    <t>Ireland is inviting applications from businesses, social enterprises and community organisations for support from a €650,000 Circular Economy Innovation Grant Scheme. The initiative, which closes on December 16, is particularly interested in projects within its four priority areas – plastics, construction and demolition waste, food waste, and raw materials (electrical and electronic equipment, textiles, furniture). Projects from the 2021 call focused on circularity in fashion, marine plastics, reusable food packaging and construction. The regional authority for Wallonia in Belgium is similarly encouraging circular innovation, offering 10 local companies a business support package worth €20,000 each. Applications close at the end of March.</t>
  </si>
  <si>
    <t>Circular packaging firm Cruz Foam completes Series A round</t>
  </si>
  <si>
    <t>US start-up Cruz Foam has raised $18m in funding to scale its sustainable foam alternative to plastic packaging for consumer products - a compostable material derived from food waste, mainly the shells of crustaceans and insects. Having started out as an alternative to polyethylene and polystyrene foam for kitchen appliances, the company is now supplying customers in the cold chain, consumer goods and e-commerce sectors.</t>
  </si>
  <si>
    <t>Australian state readies funding for circular firms</t>
  </si>
  <si>
    <t>The Australian state of Victoria plans to spend more than A$8m (€5.2m) on 45 new projects to accelerate its transition to a circular economy. Finance will be provided to avoid waste and increase materials efficiency, with one of the grant recipients introducing a new reusable wine keg service for events that replaces wine bottles to significantly reduce waste. Two other funds will be devoted to new uses for recycled materials and the recycling of organic materials.</t>
  </si>
  <si>
    <t>Luxembourg introduces guide to help firms avoid single-use plastic</t>
  </si>
  <si>
    <t>Companies in Luxembourg that want to avoid all single-use plastic on their premises can now turn to a comprehensive guide produced by business association IMS Luxembourg with the support of the Ministry of the Environment, Climate and Sustainable Development. The guide provides advice on plastic alternatives for products such as plates, cutlery, cups and snacks, along with policy suggestions and explanations of sustainability terms.</t>
  </si>
  <si>
    <t>Promoting sustainability in Luxembourg’s economic activity zones</t>
  </si>
  <si>
    <t>A guide to the sustainable design of economic activity zones has been released by Luxembourg’s Ministry of Energy and Spatial Planning and the Ministry of the Economy to help local authorities implement the Plan directeur sectoriel zones d'activités économiques (PSZAE), which came into force in March 2021.</t>
  </si>
  <si>
    <t>Luxinnovation talk highlights reuse in construction</t>
  </si>
  <si>
    <t>Belgian experts in digital platforms for the reuse of building materials have highlighted the benefits and challenges of the deconstruction business in a round-table discussion hosted by Luxinnovation. While building owners can benefit from selling reusable materials and avoiding the cost of landfill waste, many are reluctant to pay for the deconstruction process itself, while the storage of disassembled building components also needs to be factored into the development of an online platform.</t>
  </si>
  <si>
    <t>Green Alley award beckons for circular start-ups</t>
  </si>
  <si>
    <t>Applications are being sought from Europe’s circular economy start-ups for the 2023 Green Alley Award, worth €25,000. Now in its ninth edition, the competition is open to European companies in the areas of recycling, waste prevention and digital solutions. The six best applicants will go through to a final, with five chosen by the award committee and the sixth by a public vote from a pre-selected list. The deadline for applications is November 21.</t>
  </si>
  <si>
    <t>Companies and entrepreneurs gear up for Luxembourg’s third Circular by Design Challenge</t>
  </si>
  <si>
    <t>Companies and entrepreneurs in Luxembourg and elsewhere in Europe that are looking to develop circular products and services are invited to register for the November 9 launch webinar of the Circular by Design Challenge #3. Luxinnovation’s circularity initiative will provide successful candidates in its third edition with 12 weeks of personalised coaching by experts, input from partner companies, and an opportunity to pitch their project at an industry event. Ideas are sought in four thematic areas: the LuXembourg collection of consumer items, multifunctional urban furniture, development co-operation and humanitarian aid, and sustainable business events. Candidates will also compete for an €8,000 award in each thematic area.</t>
  </si>
  <si>
    <t>https://www.luxinnovation.lu/event/circular-by-design-challenge-3-launch-event/?_cldee=tuZtdJCq6eVWIaka1QxpjXUmOomgxif92yf3mqxXxEDVBVl-bdkX8ItPMUTL3CqmGhStXrIy6ZJbCSMI-GIeUA&amp;recipientid=contact-23b1fa3ba2e7ea1180e7005056bfe55c-79191890b22b496c8d63481de6ce2dc4&amp;esid=07202c72-9444-ed11-8102-005056bfe55c#register</t>
  </si>
  <si>
    <t>EU sponsors initiative to create digital product passport</t>
  </si>
  <si>
    <t>The EU has launched an 18-month programme to design a future digital product passport that could initially be used by manufacturers of batteries, electronics and textiles to promote circularity. Involving 30 organisations representing thousands of digital and industrial companies across Europe, together with regulatory, standards and trade association bodies, the CIRPASS programme aims to develop prototype passports for each of the three sectors. The move towards digital product passports, which can hold details of an item's composition, production and recycling properties, echoes the Product Circularity Data Sheet developed as part of Luxembourg’s circular strategy.</t>
  </si>
  <si>
    <t>https://www.eba250.com/eit-innoenergy-joins-cirpass-to-lay-the-ground-for-the-deployment-of-european-digital-product-passports/</t>
  </si>
  <si>
    <t>https://pcds.lu</t>
  </si>
  <si>
    <t>European Investment Bank’s Circular City Centre launches advisory programmes for cities</t>
  </si>
  <si>
    <t>The Circular City Centre, a competence and resource facility within the European Investment Bank, is launching a series of three advisory programmes for metropolitan authorities seeking to make the transition to a circular economy. CCA1 covers the first steps in developing a circular strategy, CCA2 focuses on creating a pipeline of specific projects, and CCA3 deals with implementation and the associated need for financing. The programmes are the latest addition to a range of resources offered by the EIB unit, including practical guides, case studies, a circular solutions catalogue and webinars.</t>
  </si>
  <si>
    <t>https://advisory.eib.org/about/circular-city-centre.htm</t>
  </si>
  <si>
    <t>Finnish firm gets backing to develop circular software for retailers</t>
  </si>
  <si>
    <t>Rentle, a Finnish start-up that enables retailers to develop rapidly platforms for selling or renting their goods online or in-store, has secured €3.8m in seed funding. Created in 2019 and now backed by venture capital firms, family offices and angel investors, it plans to use the new financing on product development and expanding its headcount to meet demand from current and future merchant clients, ranging from major retail chains to small businesses.</t>
  </si>
  <si>
    <t>https://www.eu-startups.com/2022/09/finnish-startup-rentle-is-helping-retailers-go-circular-and-has-just-scored-e3-8-million/</t>
  </si>
  <si>
    <t>https://www.rentle.io</t>
  </si>
  <si>
    <t>Consultancy’s study reports fourfold rise in investment for circularity funds last year</t>
  </si>
  <si>
    <t>Circular economy impact funds attracted investment totalling €12.7bn in 2021, a near fourfold increase over the figure for the previous year, while the number of new circular funds launched last year jumped to 40 from eight in 2018, according to Dutch-based impact investing consultancy Phenix Capital. It reports that most funds are focused on the global, Europe and North American markets, while the largest source of capital was private equity firms.</t>
  </si>
  <si>
    <t>https://www.pioneerspost.com/news-views/20220907/circular-economy-fund-investments-rocket-2021-new-report</t>
  </si>
  <si>
    <t>HSBC launches circular economy fund for HNWI investors</t>
  </si>
  <si>
    <t>HSBC Asset Management has launched the HGIF Global Equity Circular Economy fund to support companies working to design out waste and pollution, maintain products and materials in use, and regenerate natural systems. Classified under article 9 of the EU’s Sustainable Finance Disclosure Regulation, the fund is aimed at high net worth individuals, family offices and other private investors.</t>
  </si>
  <si>
    <t>https://www.circularonline.co.uk/news/hsbc-asset-management-launches-circular-economy-fund/</t>
  </si>
  <si>
    <t>Swedish researchers’ study highlights vision and collaboration among policy requirements for cities</t>
  </si>
  <si>
    <t>The Stockholm Environment Institute has set out four recommendations for city authorities to drive the transition to a circular economy. Its study of academic research papers published on circularity in cities identified as crucial creating a clear vision with clear targets; effective collaboration across different sectors and governance levels; supportive regulatory and financial instruments; and the ability to monitor scaling from pilot project to full implementation. The paper also provides case studies of successful illustrations of each recommendation.</t>
  </si>
  <si>
    <t>https://www.sei.org/wp-content/uploads/2022/09/circular-economy-urban-policymakers.pdf</t>
  </si>
  <si>
    <t>Zurich embeds circular economy in canton’s constitution</t>
  </si>
  <si>
    <t>Zurich has become the first of Switzerland’s 26 cantons to embed the circular economy in its constitution, following a referendum in which nearly 90% of residents approved the move. The local authorities must now create frameworks for the considerate treatment of resources, materials and goods, and the closing of materials loops, with the overall aim of reducing both waste and energy consumption. The vote followed a move by Bern’s cantonal parliament to support measures to develop a more circular local economy.</t>
  </si>
  <si>
    <t>https://www.swissinfo.ch/eng/zurich-to-enshrine-the-circular-economy-in-constitution/47928262</t>
  </si>
  <si>
    <t>Government ministers offer mixed views on EU ecodesign plans</t>
  </si>
  <si>
    <t>EU ministers have given a mixed response to a key plank of the European Commission’s circular economy strategy, the Ecodesign for Sustainable Products Regulation, which aims to set out ecological design requirements and a digital product passport. While many ministers acknowledge the measure's potential benefits for the green transition, others have voiced concern about aspects ranging from member states’ input on the technical specifications to practical enforcement.</t>
  </si>
  <si>
    <t>https://www.euractiv.com/section/circular-economy/news/eu-ministers-challenge-commissions-green-products-regulation/</t>
  </si>
  <si>
    <t>Bioeconomy set for US federal support under Biden executive order</t>
  </si>
  <si>
    <t>President Joe Biden has signed a wide-ranging executive order to boost the US bioeconomy, focusing on the potential of biotechnology and biomanufacturing to provide solutions in health, climate change, energy, food security, agriculture, supply chain resilience, and national and economic security. The package includes increases in federal investment in biotech manufacturing research and development, support for workforce training programmes and a streamlining of regulations. The administration will also seek to encourage public/private partnerships and international co-operation in the bioeconomy field.</t>
  </si>
  <si>
    <t>https://www.morganlewis.com/blogs/asprescribed/2022/09/executive-order-outlines-new-federal-biotechnologymanufacturing-goals</t>
  </si>
  <si>
    <t>Luxembourg launches digital platform for wood sector</t>
  </si>
  <si>
    <t>Luxembourg’s economy minister Franz Fayot and Luxinnovation CEO Sasha Baillie have launched e-Holzhaff, a digital marketplace for wood product suppliers and customers in the grand duchy and the wider cross-border region. Available in either German or French, the platform enables companies, associations and private individuals to source logs from deciduous or evergreen trees, as well as ancillary services such as sawing, drying and storage. In a next step the cascading reuse and recycling of wood will also be promoted. Woods and forests cover more than a third of Luxembourg’s surface area, with the wood industry supporting some 1,285 businesses and 19,000 employees.</t>
  </si>
  <si>
    <t>https://gouvernement.lu/fr/actualites/toutes_actualites/communiques/2022/09-septembre/13-fayot-holzhaff.html</t>
  </si>
  <si>
    <t>https://www.e-holzhaff.lu/fr/produits</t>
  </si>
  <si>
    <t>World Economic Forum highlights technological innovation for circular construction</t>
  </si>
  <si>
    <t>The construction industry’s transition to a more circular approach can be supported using four digital technologies, according to a World Economic Forum report that highlights digital models and platforms, AI and big data, blockchain and the internet of things, and digital manufacturing. Together, these technologies can optimise the use of materials from the design stage through Building Information Management, identify reusable materials from existing buildings, securely track the movement of materials through the supply chain, and facilitate the disassembly of buildings.</t>
  </si>
  <si>
    <t>https://www.weforum.org/agenda/2022/09/4-promising-digital-technologies-for-circular-construction/</t>
  </si>
  <si>
    <t>EU launches project to support circular transition in textile sector</t>
  </si>
  <si>
    <t>The EU’s Horizon Europe innovation and research programme has established a 27-member consortium to help the textile industry transition to a circular economy. The Circular and Sustainable Textiles and Clothing project will carry out pilot studies on the repair and disassembling, sorting and recycling of items, and will develop semi-automated workstations and digitally enhanced sorting operations. The initiative covers fashion clothes, workwear and personal protective equipment, along with outdoor equipment such as backpacks and tents.</t>
  </si>
  <si>
    <t>https://www.yarnsandfibers.com/news/textile-news/new-eu-cisutac-project-to-support-circular-textiles/</t>
  </si>
  <si>
    <t>https://www.cisutac.eu</t>
  </si>
  <si>
    <t>OECD studies role of reverse supply chains in circular economies</t>
  </si>
  <si>
    <t>An OECD report has highlighted the opportunities and challenges for governments in developing cross-border reverse supply chains to support the circular economy. Amid a growth in national bans on waste imports and tighter regulation on movement of hazardous waste, the study looks at ways to improve reverse supply chains, notably through trade mechanisms and measures to curb illegal waste disposal.</t>
  </si>
  <si>
    <t>https://www.oecd.org/environment/securing-reverse-supply-chains-for-a-resource-efficient-and-circular-economy-6ab6bb39-en.htm</t>
  </si>
  <si>
    <t>Upcycled fashion collection available online in Luxembourg</t>
  </si>
  <si>
    <t>Benu Couture, part of the Benu Reuse initiative in Esch-sur-Alzette, is now retailing its collection of creative, upcycled clothes online, complementing its in-store presence at Esch and the Let’z Refashion pop-up store in Luxembourg City. Launched on October 4, the &lt;a href="http://www.benucouture.lu"&gt;www.benucouture.lu&lt;/a&gt; website features around 130 fashion items created through the upcycling of secondhand clothes by local designers and that can be delivered by post.</t>
  </si>
  <si>
    <t>https://www.infogreen.lu/benu-couture-s-envole-vers-le-web.html</t>
  </si>
  <si>
    <t>McKinsey sees net-zero opportunity in materials transition</t>
  </si>
  <si>
    <t>While many governments and companies are focusing on an energy transition to achieve net zero by 2050, a study by consultants McKinsey is making a separate case for a materials transition. Seizing the circularity opportunities in the EU’s steel, chemicals, plastics and cement industries through reuse, more efficient material use in goods, and extending product life cycles could cut emissions by 56%, according to the study. The authors explain where value is currently being lost and how greater circularity in the business models of these sectors - which account for 75% of the bloc's industrial emissions - can help to achieve net zero objectives.</t>
  </si>
  <si>
    <t>https://www.mckinsey.com/business-functions/sustainability/our-insights/how-a-materials-transition-can-support-the-net-zero-agenda</t>
  </si>
  <si>
    <t>Luxembourg to host circular business and climate change events</t>
  </si>
  <si>
    <t>The grand duchy will be separately staging the Benelux Circular Economy Business Forum on October 4 and 5, and the Klima Expo climate change solutions show from October 6 to 8. Organised by the Luxembourg Chamber of Commerce and the Benelux Union, the forum will focus on the main themes of single-use plastics, reparability, waste management, circularity in construction and infrastructure, and sustainable cities. Along with presentations, workshops and round-table discussions, the event will enable circularity specialists from the public and private sectors in the Benelux countries, France and Germany to meet and network. The Klima Expo, organised by the Luxembourg environment ministry, is intended to help organisations reduce their carbon footprint and will incorporate seminars, workshops and exhibition stands, opening with a "circular construction" event on the morning of October 6th, co-organised with the energy ministry.</t>
  </si>
  <si>
    <t>https://www.cc.lu/agenda/detail/benelux-circular-economy-business-forum?tx_ccagenda_agenda%5Bmonth%5D=2022-10&amp;cHash=ba578648bc16dde26838fe5907dda256</t>
  </si>
  <si>
    <t>http://klimaexpo.lu</t>
  </si>
  <si>
    <t>Luxembourg’s economy minister unveils package of measures to develop sharing economy</t>
  </si>
  <si>
    <t>Luxembourg’s economy minister Franz Fayot has outlined a package of nine measures to promote the sharing economy in the grand duchy. The approach draws on a ministry study analysing business models and public policies on sharing in other countries, as well as identifying the opportunities and barriers to its application in Luxembourg. The measures are designed to provide advice, training and financial support to companies through a combination of Luxinnovation’s Fit4Sustainability and Fit4Start programmes, while local authorities are being invited to take part in four planned pilot projects that will see equipment-sharing spaces created for local companies and residents.</t>
  </si>
  <si>
    <t>https://meco.gouvernement.lu/fr/actualites.gouvernement%2Bfr%2Bactualites%2Btoutes_actualites%2Bcommuniques%2B2022%2B08-aout%2B12-economie-partage.html</t>
  </si>
  <si>
    <t>https://www.infogreen.lu/l-economie-du-partage-res-source-de-developpements.html</t>
  </si>
  <si>
    <t>Investors eye circularity potential under US climate legislation</t>
  </si>
  <si>
    <t>US circular economy investment firm Closed Loop Partners argues that the $369bn Inflation Reduction Act, which is primarily aimed at combating climate change, will drive new investment in circularity. The firm highlights not only likely investment in new solar and wind energy plants but the opportunities for recycling and reusing components of these plants at the end of their operational lives. It believes circularity will also be driven by the remediation of air, soil and water systems, the development of sustainable agriculture, and the availability of sustainable finance - courtesy of the bill’s loans, grants and tax credits, along with the creation of what is effectively a federal ‘green bank’ in the Greenhouse Gas Reduction Fund.</t>
  </si>
  <si>
    <t>https://www.closedlooppartners.com/how-the-inflation-reduction-act-will-accelerate-the-case-for-investing-in-the-circular-economy-in-the-united-states/</t>
  </si>
  <si>
    <t>Researchers call on Australia to embrace circularity and promote green hydrogen production</t>
  </si>
  <si>
    <t>A report from researchers at Adelaide's Flinders University has called on Australia, one of the world’s highest per capita carbon polluters, to encourage circularity in product sectors including green steel, lithium-ion batteries, wind turbines and solar panels. The authors of the report, &lt;em&gt;The Circular Economy: International Lessons and Directions for Australian Reindustrialisation,&lt;/em&gt; also recommend support for electrolyser manufacturing in order to promote green hydrogen production, along with a policy for large-scale recycling and reuse.</t>
  </si>
  <si>
    <t>https://www.aumanufacturing.com.au/the-circular-economy-and-the-future-of-industry-and-economy-by-lance-worrall</t>
  </si>
  <si>
    <t>Japanese government targets ¥80trn circular economy by 2030</t>
  </si>
  <si>
    <t>Japan's government has set a target of increasing the size of the country's circular economy from ¥50trn (€346bn) at present to ¥80trn (€554bn) by 2030 by stepping up its recycling and reuse programmes, particularly in the fields of electronics goods, batteries and clothing. The initiative, part of a wider government ambition for the country to become carbon-neutral by 2050, will also see Japan seek to import waste domestic appliances from south-east Asian countries that lack facilities to recycle and reuse rare metals and other electronic components.</t>
  </si>
  <si>
    <t>https://www.japantimes.co.jp/news/2022/08/27/business/japan-circular-economy-expansion/</t>
  </si>
  <si>
    <t>Sustainable UK laundry service secures new funding and B Corp certification</t>
  </si>
  <si>
    <t>Oxford-based start-up Oxwash has raised €11.7m in a Series A round and received B Corp certification for its sustainable on-demand laundry service. The company uses ozone technology to deodorise and sanitise fabrics at lower temperatures, along with biodegradable chemistry to achieve higher than medical-grade disinfection. Its separate 'wet cleaning’ offering uses biodegradable detergents rather than the potentially carcinogenic solvents used in dry cleaning, and all its collections and deliveries are made by electric vehicles or cargo bikes.</t>
  </si>
  <si>
    <t>https://www.eu-startups.com/2022/08/spinning-laundry-sustainably-oxwash-picks-up-e11-7-million-and-earns-b-corp-certification/https://www.oxwash.com</t>
  </si>
  <si>
    <t>German firm raises $45m for IT hardware-as-a-service business model</t>
  </si>
  <si>
    <t>Berlin start-up Topi has raised $15m in equity and $30m in debt financing to fund a hardware-as-a-service subscription offering for the business-to-business economy. The company, which has partnered with Gravis, one of Germany’s major electronics retailers, plans to offer smartphones, computer monitors, laptops, printers, robotic arms and other equipment for either monthly rental or purchase by instalment. The new funding was led by existing investors Index Ventures and Creandum for the equity, and TriplePoint Capital for the debt.</t>
  </si>
  <si>
    <t>https://tech.eu/2022/08/31/berlin-s-topi-raises-45-million-in-new-funding-round-reveals-hardware-as-a-service-platform-for-retailers-and-manufacturers/</t>
  </si>
  <si>
    <t>https://techcrunch.com/2022/08/30/topi-raises-45m-to-power-hardware-subscriptions-for-b2b-merchants/</t>
  </si>
  <si>
    <t>Scottish biotech company produces omega-3 from algae</t>
  </si>
  <si>
    <t>MiAlgae, an Edinburgh-based biotech start-up, has developed a method for producing omega-3, usually sourced from the world’s fish stocks, using micro-algae grown on low-value waste from Scotch whisky distilleries. As well as being more sustainable, the developers say, the process results in lower carbon dioxide emissions, and its waste is sent to biogas producers to generate green electricity. A commercial demonstrator project will be set up by next year after MiAlgae raised £2.3m from investors, highlighting the circularity of its business model.</t>
  </si>
  <si>
    <t>https://resource.co/article/biotechnology-startup-mialgae-awarded-23m-private-investment</t>
  </si>
  <si>
    <t>US government agency to support bioproduct research for industry and consumers</t>
  </si>
  <si>
    <t>The US Department of Agriculture’s National Institute of Food and Agriculture is launching a $10m Bioproduct Pilot Program to fund studies into the manufacturing of bio-based alternatives to conventional construction and consumer products. In collaboration with the USDA’s BioPreferred programme, its aim is to reduce dependence on imported oil, reduce carbon emissions and support farmers in rural America. The initiative is inviting research proposals exploring the cost and greenhouse gas emission savings from bioproducts, materials that can either reduce or extend product life, reductions in waste, and the development and scaling-up of bioproducts.</t>
  </si>
  <si>
    <t>https://www.nifa.usda.gov/about-nifa/blogs/bioproduct-pilot-program-seeks-boost-economic-development-rural-america</t>
  </si>
  <si>
    <t>Scientists develop bio-based alternatives to farm chemicals and pesticides</t>
  </si>
  <si>
    <t>Research by scientists from Savitribai Phule Pune University in India and the UK’s Liverpool John Moores University has demonstrated that plant-based materials can be used instead of chemicals and pesticides to help farmers manage their crops more sustainably. The use of non-toxic, biodegradable and eco-friendly rhamnolipid biosurfactants in combination with fungal chitosan nanoparticles can control bacterial and fungal pathogens that harm citrus fruit, bananas, cabbage, wheat and sugarcane.</t>
  </si>
  <si>
    <t>https://biomarketinsights.com/vegan-biomaterials-could-replace-chemicals-in-crop-management/</t>
  </si>
  <si>
    <t>Lausanne researchers’ project illustrates reuse of concrete blocks from demolished building</t>
  </si>
  <si>
    <t>Researchers at Switzerland’s École Polytechnique Fédérale de Lausanne have conducted a project at the Smart Living Lab in Fribourg to reuse reinforced concrete from a building scheduled for demolition and construct a footbridge over a river. Scientists were able to demonstrate that sections of walls and ceilings from a building less than 10 years old could be cut into blocks and joined together to form an arch, which was weather-proofed for outdoor use. The team's aim is to dispel doubts among some construction industry participants about the reuse potential of concrete in new building projects.</t>
  </si>
  <si>
    <t>https://www.baunetzwissen.de/beton/tipps/forschung/von-der-hauswand-zur-bruecke-8010697?wt_mc=nlbw.Beton.2022-09.Tipps-Forschung.cid-8010697&amp;context=3201</t>
  </si>
  <si>
    <t>Technology viewed by business leaders as driver of circularity in manufacturing industry</t>
  </si>
  <si>
    <t>The manufacturing sector sees innovation and technology as the keys to reaping further benefits from its transition to a circular economy, according to &lt;em&gt;The State of the Circular Economy&lt;/em&gt;, a report by financial software group Sage. Its survey of 859 business leaders found that 84% see circularity as part of their role, while 32% said it was central to their jobs. With 32% of organisations already reaping the benefits of circularity through increased profitability and productivity, and a further 32% expecting to achieve that within three years, technology and innovation are seen as the main circular enablers by 72%.</t>
  </si>
  <si>
    <t>https://www.themanufacturer.com/articles/sage-study-emerging-tech-critical-to-manufacturers-embracing-the-circular-economy-whilst-facing-big-industry-challenges/</t>
  </si>
  <si>
    <t>Ellen MacArthur Foundation urges China to go circular on plastics</t>
  </si>
  <si>
    <t>As the world’s largest producer, exporter and user of plastics, China needs to seize the opportunities offered by a circular economy to reduce the volume of plastic waste globally, according to a report by the Ellen MacArthur Foundation. The authors say the industry’s existing voluntary efforts in China are a good starting point, but remain siloed and focused on waste management, arguing that there is genuine potential for upstream innovation to design out waste. They also believe that successful examples of plastics circularity, both in China and worldwide, can serve as inspiration for the sector.</t>
  </si>
  <si>
    <t>https://emf.thirdlight.com/link/izic4bu7cgvx-lsujr5/@/preview/1?o</t>
  </si>
  <si>
    <t>EU-funded projects highlight circular approaches for building and construction waste</t>
  </si>
  <si>
    <t>Three EU-funded programmes are aiming to increase the reuse rate of building materials in construction, which currently stands at just 1% in north-west Europe. Facilitating the Circulation of Reclaimed Building Elements, a programme initially covering northern France, Belgium and the UK, but now being extended to Luxembourg and the Netherlands, is producing guides for building and demolition contractors, carpenters and roofers. Along with workshops and webinars, the project will also develop methodology for planning, monitoring and reporting on reuse both in building projects and public policies.
 &lt;strong&gt;Applying existing knowledge&lt;/strong&gt;
 By contrast, the CIRCuIT programme - Circular Construction in Regenerative Cities - will apply existing techniques, tools and approaches for circular construction to four major urban areas: Copenhagen, Hamburg, the Helsinki region and greater London. Each city will deliver nine demonstrator projects following three themes: the reuse and recycling of materials, extending building life through transformations and refurbishment, and designing for disassembly and flexible construction. Meanwhile, the Iceberg project is providing case studies from its 35 partners for the reuse of construction and demolition waste in 10 countries.</t>
  </si>
  <si>
    <t>https://www.list.lu/en/research/project/fcrbe/</t>
  </si>
  <si>
    <t>https://www.circuit-project.eu/about-circuit</t>
  </si>
  <si>
    <t>https://iceberg-project.eu</t>
  </si>
  <si>
    <t>https://www.nweurope.eu/projects/project-search/fcrbe-facilitating-the-circulation-of-reclaimed-building-elements-in-northwestern-europe/#tab-1</t>
  </si>
  <si>
    <t>World Economic Forum recommends circular strategy for critical metals</t>
  </si>
  <si>
    <t>Only a reduction in demand for critical metals such as cobalt, lithium and nickel will enable industry to make a successful transition to clean energy, according to the World Economic Forum, which is calling for increased sharing and re-use, along with a fostering of product longevity. Keeping a smartphone for five years instead of three can reduce its carbon footprint by 31%, while some electric vehicle batteries are being replaced with up to 80% of their operating capacity still available, says responsible sourcing lead Winnie Yeh.</t>
  </si>
  <si>
    <t>https://www.weforum.org/agenda/2022/07/3-circular-approaches-to-reduce-demand-for-critical-minerals/</t>
  </si>
  <si>
    <t>https://www.nature.com/articles/s41893-022-00895-8</t>
  </si>
  <si>
    <t>Singapore firm closes third fundraising for second fund to combat ocean plastic</t>
  </si>
  <si>
    <t>Circulate Capital, a Singapore investment firm dedicated to plastic recycling and the circular economy, has taken in a total of US$53m for its CC Ocean Fund I-B following completion of a third fundraising round. The fund will support plastic recycling and waste management value chains, along with disruptive technology projects for tackling ocean plastic in south and south-east Asia. The firm's existing CC Ocean Fund I fund has US$112m in assets under management.</t>
  </si>
  <si>
    <t>https://www.circulatecapital.com/news</t>
  </si>
  <si>
    <t>Sharp increase in UK circular business investment since 2018: BDO</t>
  </si>
  <si>
    <t>Merger and acquisition deal numbers within the UK’s circular economy sector increased from 42 in 2018 to 119 last year, involving more than £1bn in investment by small and medium-sized businesses and private investors, according to M&amp;A consultants at professional services group BDO. The industrial and manufacturing sector saw the most circular economy investments, accounting for 37% of aggregate deal volume.</t>
  </si>
  <si>
    <t>https://www.bdo.co.uk/en-gb/insights/advisory/mergers-and-acquisitions/circular-economy-series-waste-management-and-recycling</t>
  </si>
  <si>
    <t>Canada begins consultation on recycling and compost labelling</t>
  </si>
  <si>
    <t>Canada’s federal government is planning to introduce new rules governing recyclability and composting labelling, along with a registry of plastic product manufacturers, as part of its drive toward a circular economy. Public consultations are open on both topics until October 7, with a view to regulations being drafted next year. They could require manufacturers to include minimum proportions of recycled plastic in certain products.</t>
  </si>
  <si>
    <t>https://www.canplastics.com/canplastics/feds-consulting-on-new-rules-for-recyclability-and-composting-to-reduce-plastic-waste/1003459171/</t>
  </si>
  <si>
    <t>Ireland’s Circular Economy Act signed into law, giving legislative weight to waste and re-use policies</t>
  </si>
  <si>
    <t>Ireland's president Michael D. Higgins has signed the Circular Economy Act into law, providing legislative weight for policies in areas such as commercial waste treatment, incentives for re-usable or recyclable items instead of single-use products, food loss prevention and improvements to the recycling of secondary raw materials. Along with providing a legal definition of the circular economy for the first time in Ireland, the law will also see a renaming of the current Environment Fund, which supports environmental and circular projects, as the Circular Economy Fund.</t>
  </si>
  <si>
    <t>https://www.gov.ie/en/press-release/4546a-landmark-circular-economy-act-signed-into-law/#</t>
  </si>
  <si>
    <t>Austrian start-up creates fruit kernel oils for ice cream production without almonds</t>
  </si>
  <si>
    <t>Wunderkern, an Austrian food tech start-up, has created a range of oils produced from the kernels of apricots, plums and cherries that can be used to manufacture sustainable vegan ice cream, avoiding the need for water-intensive cultivation of almonds. The company, which trialled its products at a festival at Krems in Austria last month, highlights the circular process involving use of a raw material, fruit kernels, that would otherwise go to waste.</t>
  </si>
  <si>
    <t>https://www.greenqueen.com.hk/wunderkern-stone-fruit-pit-vegan-ice-cream-food-waste/</t>
  </si>
  <si>
    <t>Israeli firm develops no-waste plant proteins</t>
  </si>
  <si>
    <t>Israeli food tech start-up Gavan Technologies has developed a process for extracting proteins and other valuable elements from plants to ensure nothing is wasted or downcycled. Unlike conventional processes, which can leave 80% of the original plant as waste, compost or animal feed, Gavan’s process enables 92% of the protein to be extracted from lentils, for example, with the remaining fibre, fats, carbohydrates and minerals being converted into a nutritious flour.</t>
  </si>
  <si>
    <t>https://www.labiotech.eu/trends-news/zero-waste-startup-plant-extract-gavan-israel-protein-waste-free/</t>
  </si>
  <si>
    <t>Consortium assembled to develop sustainable resins project in UK</t>
  </si>
  <si>
    <t>Governmental agency UK Research and Innovation is bringing together the brewing, foundry, construction panel and chemical industries to manufacture plant-based resins that can replace conventional energy-intensive, oil-based products. The consortium aims to scale a plant-based resin developed by Cambridge-based firm Cambond from by-products of the brewing industry, enabling it to be introduced into the processes for manufacture of furniture and construction panels as well as casting metal.</t>
  </si>
  <si>
    <t>https://www.cambridgenetwork.co.uk/news/cambond-ukri-and-consortium-deliver-world-class-green-economy-ps73m-bondifi-project</t>
  </si>
  <si>
    <t>Consortium’s project creates highly circular tiny house for Esch 2022</t>
  </si>
  <si>
    <t>Academics, architects, builders and developers, along with local authorities and central government, have come together to build a circular tiny house at Belval as part of the Esch 2022 European Capital of Culture events. The largely prefabricated building is designed to make the most of locally sourced materials, with a focus on re-use and aesthetics as well as functionality. The aim is to provide a simple, modular prototype that can be copied by builders, developers and authorities throughout Luxembourg.</t>
  </si>
  <si>
    <t>https://www.infogreen.lu/la-petite-maison-dans-le-champ-des-possibles.html</t>
  </si>
  <si>
    <t>Finalists set for North American re-use innovation awards</t>
  </si>
  <si>
    <t>The final shortlist has been announced for a competition to identify the most innovative re-use companies in the US and Canada in four categories: food and drink, consumer packaged goods, fashion and apparel, and enabling technologies. The announcement of winners in the second annual re-use awards ('Reusies'), whose sponsors include circular investment firm Loop Partners, will be livestreamed on September 29. Awards will also be presented in the categories of corporate initiative, re-use community and activist of the year.</t>
  </si>
  <si>
    <t>https://upstreamsolutions.org/blog/upstream-and-closed-loop-partners-announce-finalists-of-the-reusies-2022</t>
  </si>
  <si>
    <t>EU project to support innovation and reduce waste in construction industry through digital technology</t>
  </si>
  <si>
    <t>A four-year EU project is underway to use digital technology to develop greater circularity in the construction industry. By harnessing digital inspection tools, robotics and automation, the Reincarnate project aims to reduce construction waste by 80%. Funded by the Horizon programme, it will offer 10 innovative solutions on a digital platform and test their effectiveness in practical cases. In the grand duchy, the Luxembourg Institute of Science and Technology, along with urban landscaping specialist Cyprès International and consulting engineers Schroeder et Associés, are involved in Digital Deconstruction, another EU project to use digital technology to boost circularity in construction.</t>
  </si>
  <si>
    <t>https://www.bam.de/Content/EN/Press-Releases/2022/2022-07-20-circular-economy-building-materials.html</t>
  </si>
  <si>
    <t>https://www.nweurope.eu/projects/project-search/digital-deconstruction/</t>
  </si>
  <si>
    <t>Germany’s Bottrop to host three-day circularity event in September</t>
  </si>
  <si>
    <t>Seminars, workshops and panel discussions devoted to circularity, resource conservation and efficiency improvement will be staged as part of the sixth edition of the Circular Economy Hotspot from September 12 to 14 in the German city of Bottrop in North Rhine Westphalia. A key focus of the event will be to provide practical examples from the experiences of company representatives, including site visits to local firms, and independent experts.</t>
  </si>
  <si>
    <t>https://www.circularhotspot.nrw</t>
  </si>
  <si>
    <t>Luxembourg to stage conference on use of wood in construction</t>
  </si>
  <si>
    <t>A one-day conference and networking event, Boost your business in Greater Region – Wood in Sustainable Construction 2022, is being organised on September 29 at Remerschen in Luxembourg. Speakers from Germany, Belgium, France and the grand duchy will discuss five themes: circularity and re-use; pre-fabrication and modularity; large-scale buildings; using hardwood; and professional training in the wood sector. The organiser of the event is the Agence Wallonne à l'Exportation et aux Investissements Étrangers, together with public- and private-sector partners in Belgium and Luxembourg.</t>
  </si>
  <si>
    <t>https://wood.bybgr.eu</t>
  </si>
  <si>
    <t>Start-up offers second-hand children’s clothes, toys and books in Luxembourg</t>
  </si>
  <si>
    <t>Secondhand4Kids, a start-up based in Ettelbruck, Luxembourg, has launched a website and opened a shop for people to donate children’s clothes, toys and books for resale at low prices to families looking to save money and avoid waste. All items, including baby and maternity items, are collected  free of charge before being sorted, cleaned, repaired and recycled if necessary. Secondhand4Kids is registered as a social benefit company and any profit will be used to support projects for single-parent families and people in difficulty.</t>
  </si>
  <si>
    <t>https://secondhand4kids.eu</t>
  </si>
  <si>
    <t>Museum of Waste opens in Esch-sur-Alzette to raise awareness of path to zero-waste society</t>
  </si>
  <si>
    <t>A pop-up Musée du Déchet has opened at the Centre Formida in Esch-sur-Alzette to raise awareness about waste in a fun but informative way. Focusing on the consequences of societies' current behaviour, the exhibition also features workshops and guided visits that can be tailored to the specific needs of local schools or businesses, and is open until October 28.</t>
  </si>
  <si>
    <t>https://www.lcce.lu</t>
  </si>
  <si>
    <t>Minister highlights circularity benefits of Luxembourg to Canadian investors</t>
  </si>
  <si>
    <t>Luxembourg’s circularity strategy represents an additional draw for potential investors from Canada, according to the grand duchy's economy minister Franz Fayot. He points to Luxembourg’s development of the Product Circularity Data Sheet, along with its roadmap for the twin digital and green transitions required by economies in the years ahead, as evidence of the country’s commitment to a sustainable future.</t>
  </si>
  <si>
    <t>https://thefutureeconomy.ca/op-eds/franz-fayot-luxembourg-government-canada-luxembourg-cooperation-innovating-future-economy/</t>
  </si>
  <si>
    <t>Wiltz offers circularity training for Luxembourg local authorities</t>
  </si>
  <si>
    <t>The Circular Innovation Hub in Wiltz is hosting a free training course on the circular economy on September 28 for staff working for local authorities elsewhere in Luxembourg. Focusing on procurement and economic aspects, the three-module programme will cover circular business models, regulatory requirements in the procurement process, and the use of local materials and sustainability labels in construction projects.</t>
  </si>
  <si>
    <t>https://www.infogreen.lu/trois-modules-pour-des-communes-circulaires.html</t>
  </si>
  <si>
    <t>European technology start-ups drive innovation in tackling food waste</t>
  </si>
  <si>
    <t>A variety of tech start-ups across Europe are driving innovation in the agri-food sector and are so far helping to curb more than €143bn in lost food value annually, according to research from San Francisco-based venture capital firm AgFunder. It says firms are tackling a range of issues, including agricultural waste, plant-based alternatives to plastic, disposal of food packaging and plant-based construction materials.</t>
  </si>
  <si>
    <t>https://agfundernews.com/europe-needs-to-ramp-up-circular-economy-investment</t>
  </si>
  <si>
    <t>Commission researchers to help consumers to choose easy-to-repair products</t>
  </si>
  <si>
    <t>The European Commission’s Joint Research Centre is working with national governments, industry and civil society groups to develop methodologies for awarding reparability scores to digital devices such as smartphones and tablets. The aim is to enable consumers to choose products that will be easier to repair in the event of malfunction, increasing the longevity and sustainability of the product life cycle.</t>
  </si>
  <si>
    <t>https://joint-research-centre.ec.europa.eu/jrc-news/helping-consumers-choose-more-sustainable-products-2022-07-26_en?pk_source=linkedin&amp;pk_medium=social_media_organic&amp;pk_campaign=reparability_scores</t>
  </si>
  <si>
    <t>UNSSC offers online course on Circular Economy and the 2030 Agenda</t>
  </si>
  <si>
    <t>The United Nations System Staff College, in collaboration with the United Nations Environment Programme, has opened enrolment for an online training course on Circular Economy and the 2030 Agenda. The free summer course will focus on harnessing circular economy principles to explore ways to redesign systems, products and services to achieve sustainable living and the UN's Sustainable Development Goals. Theoretical, practical and case study-based approaches will be used to illustrate and support the concepts. Course registration closes on August 1.</t>
  </si>
  <si>
    <t>https://www.unssc.org/courses/circular-economy-and-2030-agenda</t>
  </si>
  <si>
    <t>Former Google CEO sees bioeconomy boom putting internet into shade</t>
  </si>
  <si>
    <t>The bioeconomy rather than the internet will be the next big thing for global development, according to former Google CEO Eric Schmidt. Among the innovations that he sees driving the bioeconomy are new plastics that naturally degrade without polluting water, biologically neutral cement that does not harm the environment, soil microbes that reduce fertiliser use and soy-based roof coating that reduces urban heat. Schmidt, who has established a philanthropic initiative to support young scientists, believes the bioeconomy could be worth $4trn and create a million jobs in the next couple of decades.</t>
  </si>
  <si>
    <t>https://www.ft.com/content/96cb2dd3-b4cd-4b12-bc72-ff19e40a3b16</t>
  </si>
  <si>
    <t>https://www.newsncr.com/business/why-eric-schmidt-believes-bioscience-will-change-the-world/</t>
  </si>
  <si>
    <t>Wiltz presentations showcase circular projects and initiatives in Luxembourg</t>
  </si>
  <si>
    <t>A series of lectures and workshops highlighted how circularity can help to meet energy, climate and resource challenges during a Circular Economy Day event in Luxembourg on June 30, supported by public bodies including Lets GO Circular and Luxinnovation. The lectures in Wiltz, a circularity pioneer in the grand duchy, examined how the town was handling anti-waste legislation for the construction sector, biodiversity in urban agriculture and restoring the natural environment, renewable energy, and the use of circular principles in a town hall renovation project.</t>
  </si>
  <si>
    <t>https://www.infogreen.lu/en-route-pour-les-solutions-du-futur.html</t>
  </si>
  <si>
    <t>Teddy bear takes UK road trip to raise awareness of circularity</t>
  </si>
  <si>
    <t>Young Planet, provider of a platform and app for exchanging unwanted children’s toys, clothes and accessories for free, is sending a second-hand teddy bear on a 1,350-mile journey around England and Scotland to raise awareness of the circular economy. During the bear's nine-city tour, dubbed #CirculaTED, the firm aims to show how easy it is for households to engage with circular initiatives and prevent unwanted items from being sent to landfill.</t>
  </si>
  <si>
    <t>https://www.circularonline.co.uk/news/teddy-journeys-around-the-uk-to-inspire-families-to-embrace-the-circular-economy/</t>
  </si>
  <si>
    <t>https://www.youngplanet.com/circulated</t>
  </si>
  <si>
    <t>Bioeconomy firms invited to apply for EU funding</t>
  </si>
  <si>
    <t>An EU partnership programme for the bioeconomy sector has issued a first call for proposals for funding from the €120m made available for projects throughout the union. The Circular Bio-Based Europe Joint Undertaking is supporting initiatives in 12 areas, ranging from carbon capture and bio-alternatives to fossil-based chemicals to coatings, proteins and the processing of waste. Applicants have until September 22 to seek financial support for three types of project - research and innovation, scaling up a prototype to product validation, and outreach work with stakeholder communities.</t>
  </si>
  <si>
    <t>https://www.cbe.europa.eu/news/eu120-million-available-advancing-europes-circular-bioeconomy</t>
  </si>
  <si>
    <t>Vivatech technology innovation conference showcases circular start-ups in Paris</t>
  </si>
  <si>
    <t>From floating solar panels to seaweed-based packaging for fruit and vegetables, bioluminescent plants for lighting to a polymer made from fish scales, last month's Vivatech technology conference in Paris provided a showcase for start-ups presenting circular innovation. Highlights of the conference sessions included strategies for promoting circular models in the construction, mobility and IT equipment sectors, as well as the role of biotech in circularity.</t>
  </si>
  <si>
    <t>https://www.science-et-vie.com/technos-et-futur/vivatech-2022-top-5-start-ups-greentech-89035.html</t>
  </si>
  <si>
    <t>https://vivatechnology.com</t>
  </si>
  <si>
    <t>German government to support financing of battery recycling facility</t>
  </si>
  <si>
    <t>The German government is contributing €16.7m toward the construction of a lithium-ion battery recycling facility at Kuppenheim for Mercedes-Benz as the German carmaker plans to switch entirely to production of electric vehicles by 2030. The LiBinfinity project will involve developing a process for the dismantling and pre-sorting of aluminium, such as the battery housing, while materials that cannot be easily separated mechanically will be recovered using water and chemicals. The design and construction of the plant is being led by Probius, a joint venture between Australian firm Neometals and Germany's SMS Group, which owns Luxembourg engineering group Paul Wurth. The mechanical separation unit will be completed by 2023, but no deadline has been set for the hydrometallurgy facility.</t>
  </si>
  <si>
    <t>https://www.electrive.net/2022/07/05/bmwk-foerdert-batterie-recycling-von-mercedes-in-kuppenheim/</t>
  </si>
  <si>
    <t>https://www.pv-magazine-australia.com/2022/03/16/wa-company-to-partner-with-mercedes-benz-building-carmakers-first-foray-into-battery-recycling/</t>
  </si>
  <si>
    <t>Scotland draws up legislation to ban destruction of unsold items</t>
  </si>
  <si>
    <t>A circular economy bill being put drawn up by the Scottish government would prevent companies from destroying unsold durable goods as part of a range of measures to increase reuse and recycling rates. The bill would also introduce charges for single-use coffee cups and other disposable drink containers, along with measures to improve household recycling and reuse. Circular economy minister Lorna Slater has launched a public consultation on the proposals, open until August 22. By 2025 Scotland aims to end the sending of biodegradable municipal waste to landfill and reduce the proportion of all landfill waste to 5%, while recycling 70% of total waste.</t>
  </si>
  <si>
    <t>https://www.gov.scot/news/consultations-on-circular-economy-launched/#:~:text=%E2%80%9CI%20encourage%20everyone%20in%20Scotland,part%20in%20these%20vital%20consultations.%E2%80%9D&amp;text=The%20consultations%20on%20the%20Circular,run%20until%2022%20August%202022.</t>
  </si>
  <si>
    <t>https://www.insider.co.uk/news/new-law-could-ban-companies-27100204</t>
  </si>
  <si>
    <t>Canada’s federal government set to ban single-use plastics</t>
  </si>
  <si>
    <t>The Canadian government has published the final regulatory text introducing a progressive banning of single-use plastic, starting with the manufacture or import of plastic bags, cutlery, straws, stir sticks and takeout containers from December this year. The sale of these items will be forbidden by the end of 2023, while six-pack carrier rings will be banned from sale the following June.</t>
  </si>
  <si>
    <t>https://www.canada.ca/en/environment-climate-change/services/managing-reducing-waste/reduce-plastic-waste/single-use-plastic-guidance.html</t>
  </si>
  <si>
    <t>https://www.theguardian.com/environment/2022/jun/20/canada-ban-single-use-plastics</t>
  </si>
  <si>
    <t>Recycling costs set for shift from taxpayers to businesses in California</t>
  </si>
  <si>
    <t>California has enacted legislation that the state authorities say aims to place the responsibility for costs from residues on producers rather than local communities, which traditionally pay for waste management and recycling. Focusing on manufacturers of single-use plastics, the law obliges them to create an industry-wide compliance organisation and provide $500m a year in funding for the next decade for a programme to reduce plastic pollution in the state. The legislation follows similar measures on consumer waste approved last year by Maine and Oregon, while more than a dozen other states are working on extended producer responsibility laws.</t>
  </si>
  <si>
    <t>https://newspress.com/california-shifts-recycling-costs-from-taxpayers-to-businesses/</t>
  </si>
  <si>
    <t>https://theconversation.com/packaging-generates-a-lot-of-waste-now-maine-and-oregon-want-manufacturers-to-foot-the-bill-for-getting-rid-of-it-165517</t>
  </si>
  <si>
    <t>Algebris announces first close of Luxembourg-domiciled green transition fund</t>
  </si>
  <si>
    <t>Asset management firm Algebris Investments has closed at €200m its first fundraising for the Algebris Green Transition Fund, which targets investment in the energy transition, circular economy, smart cities and agricultural technology. The London-based firm is aiming for the fund, a Luxembourg common limited partnership, to expand its investor capital to €400m over the next 12 months. Algebris says the fund will be classified under Article 9 of the EU's Sustainable Finance Disclosure Regulation.</t>
  </si>
  <si>
    <t>https://www.privateequitywire.co.uk/2022/07/04/315785/algebris-holds-first-closing-green-transition-fund-eu200m</t>
  </si>
  <si>
    <t>https://www.algebris.com/press/algebris-green-transition-fund-closes-first-fundraising-round-at-e200m/</t>
  </si>
  <si>
    <t>Global Green Growth Institute to open Luxembourg office</t>
  </si>
  <si>
    <t>The Global Green Growth Institute, an organisation that supports sustainable development in emerging economies, is to open an office in Luxembourg, having previously financed a series of circularity projects in Africa from the grand duchy. The collaboration began in 2018 with projects being financed by Luxembourg's Ministry of the Environment, Climate and Sustainable Development. The Seoul-based institute helped member countries to raise $4.7bn from domestic and global capital markets last year for climate change mitigation, adaptation and green economic recovery projects. Sustainability efforts in Luxembourg’s financial sector have also been recognised with LuxSE being named Stock Exchange of the Year at the 2022 Environmental Finance Sustainable Investment Awards.</t>
  </si>
  <si>
    <t>https://gggi.org/the-grand-duchy-of-luxembourg-and-the-global-green-growth-institute-gggi-sign-an-agreement-for-the-establishment-of-a-gggi-office-in-luxembourg/</t>
  </si>
  <si>
    <t>https://www.infogreen.lu/luxse-named-stock-exchange-of-the-year-by-environmental-finance.html</t>
  </si>
  <si>
    <t>Saudi Arabia to create new circular city within capital</t>
  </si>
  <si>
    <t>The authorities in Saudi Arabia have unveiled plans to turn a new 10-square-kilometre area of Riyadh into a green circular economy featuring 11,000 residential units and an ecosystem of green technology companies. Led by Dubai-based planning consultancy URB, the zero-carbon city project aims to be self-sufficient in energy from solar power facilities while using bio-saline agriculture, productive gardens and wadis to produce food. All water will be recycled as part of a broader zero-waste approach.</t>
  </si>
  <si>
    <t>https://www.constructionweekonline.com/projects-tenders/alnama-smart-city</t>
  </si>
  <si>
    <t>Telecoms firms adopting circular solutions for reuse of network equipment and phones</t>
  </si>
  <si>
    <t>Network operators are turning to the refurbishment and reuse of telecommunications hardware in a bid to reduce electronic waste and boost circularity in the industry, with Vodafone looking to reuse, resell or recycle 100% of its network waste by 2025. The company has an internal asset marketplace that encourages the reselling and repurposing of excess stock or large decommissioned items such as masts and antennas. By the end of 2025, Virgin Media O2 in the UK intends to have helped its customers conduct 10 million "circular actions”, such as recycling devices and donating old kit and unwanted smartphones. Swedish operator Telia reused or recycled 70% of its network waste in 2021 and aims to increase that figure to 100% by 2030.</t>
  </si>
  <si>
    <t>https://techmonitor.ai/leadership/sustainability/telcos-circular-economy-principles-tackle-e-waste</t>
  </si>
  <si>
    <t>https://www.vodafone.com/news/planet/circular-economy-plan</t>
  </si>
  <si>
    <t>Norway to host hackathon to develop solutions for reusing building components</t>
  </si>
  <si>
    <t>Applications are being invited from architects, engineers and construction teams for a weekend of brainstorming, prototyping, networking and recreation at the Circular Design Hackathon at Trondheim in Norway on September 16-18. Organised by a group from the Norwegian University of Science and Technology, the event aims to help close the resource loop in the construction industry by developing solutions for reusing building components. Up to 50 applicants can take part and compete for NOK20,000 in prize money at the event, which is taking place alongside an industry conference on building information modelling.</t>
  </si>
  <si>
    <t>https://www.ecppm2022.org/#Hackathon</t>
  </si>
  <si>
    <t>Campaign group calls for tax shift to create jobs and benefit the environment</t>
  </si>
  <si>
    <t>Six million new jobs could be created, GDP could grow by an additional 1.6% and carbon emissions cut by 7.1% in Europe by 2025 if EU countries shifted the tax burden from labour to pollution and resource use, according to a Dutch campaign group. While the EU’s Green Deal already includes a commitment to a change in tax strategy, a report by the Ex'tax Project Foundation sets out a budget-neutral programme of 20 measures for its practical delivery. The proposals would lower income tax and social security contributions for households, while increasing financial support for the lowest income groups and providing employers with tax credits for recruitment, training and circular process innovation. To pay for these measures, emissions by industry, aviation, shipping and agriculture would be taxed, while VAT and tobacco excise duties would also be raised.</t>
  </si>
  <si>
    <t>https://ex-tax.com/taxshift/https://ex-tax.com/wp-content/uploads/2022/06/Press-release-The-Extax-Project-on-The-Tax-Shift-2-June-2022.pdf</t>
  </si>
  <si>
    <t>Spanish project embraces circularity in construction of quarantine cabin</t>
  </si>
  <si>
    <t>A team of postgraduate students, architects and other experts have built a quarantine cabin in the forest of Collserola national park in the hills above Barcelona as a response to the pandemic and a demonstration of circularity in construction. Designed for a two-week stay by one individual, the 12-square-metre structure, dubbed Voxel, is made of cross-laminate timber that was harvested and processed from trees within a one-kilometre radius of the cabin, with tree bark offcuts being recycled as cladding and a layer of cork providing insulation. Water is captured, stored and treated for reuse, while electricity is provided by three solar panels and battery storage. Completed in 2020, the project was led by Valldaura Labs, part of the Institute for Advanced Architecture of Catalonia.</t>
  </si>
  <si>
    <t>https://iaac.net/maebb-voxel-quarantine-cabin/</t>
  </si>
  <si>
    <t>https://www.archdaily.com/958366/the-voxel-quarantine-cabin-valldaura-labs</t>
  </si>
  <si>
    <t>Chinese state planning body sets out blueprint for bioeconomy development</t>
  </si>
  <si>
    <t>China's National Development and Reform Commission has unveiled plans to promote the bioeconomy in order to meet increasing demand for improved health, economic development and greater protection against biosafety risks such as epidemics. The plan, which will initially run until 2025, aims to harness the potential of biomass to boost sustainable development and resource conservation, while improving diets through use of bio-based fertilisers and pesticides in agriculture. Another strand of the plan will promote innovation in biomedicines.</t>
  </si>
  <si>
    <t>https://english.news.cn/20220510/edf1b95d1933440ba4da89bbbcc4f6d4/c.html</t>
  </si>
  <si>
    <t>https://global.chinadaily.com.cn/a/202205/11/WS627b17f2a310fd2b29e5becf.html</t>
  </si>
  <si>
    <t>Food and agriculture shift to alternative proteins and regenerative cultures could curb biodiversity loss: report</t>
  </si>
  <si>
    <t>Switching to a circular economy could resolve the world’s biodiversity crisis by 2035, according to &lt;em&gt;Tackling Root Causes –Halting Biodiversity Loss through the Circular Economy&lt;/em&gt;, a report by Finnish innovation fund Sitra and consultancy Vivid Economics, a McKinsey subsidiary. The authors argue that the food and agriculture sectors could make the biggest contribution to preserving biodiversity by moving toward alternative proteins and regenerative cultures, and helping reduce food waste. A circular approach would require less land, fertiliser and fuel, making it possible to hand areas back to nature and both improve biodiversity and curb climate change.</t>
  </si>
  <si>
    <t>https://www.sitra.fi/app/uploads/2022/05/sitra-tackling-root-causes-1.pdf</t>
  </si>
  <si>
    <t>https://www.agriland.ie/farming-news/a-circular-economy-is-the-biodiversity-solution-right-in-front-of-us-report/</t>
  </si>
  <si>
    <t>Canadian firm uses pyrolysis to turn heavy equipment tyres into oil, steel and carbon black</t>
  </si>
  <si>
    <t>Canadian company Kal Tire is using smoke-free pyrolysis to fully reprocess the 4.5-tonne tyres used by mining trucks. Normally used to backfill old mines, five of the 14-foot-tall tyres can be converted into 2,000 litres of oil, 4,000 kilos of steel and about 8,000 kilos of carbon black, along with gas that is used as an energy source in the process. The facility at Antofagasta in Chile's copper mining region uses the friction and heat of a pyrolysis kiln to break down the tyres without creating combustion. In Europe, Dutch start-up Black Bear Carbon has developed a proprietary technology for extracting carbon black from tyres and aims to open a production plant in Geleen in the south-east Netherlands next year.</t>
  </si>
  <si>
    <t>https://www.miningweekly.com/article/circular-economy-prompting-steel-oil-carbon-recovery-from-end-of-life-mine-truck-tyres-2022-06-04/rep_id:3650</t>
  </si>
  <si>
    <t>https://www.kaltiremining.com/en/sustainable-solution/recycling/</t>
  </si>
  <si>
    <t>https://blackbearcarbon.com</t>
  </si>
  <si>
    <t>Automated textile sorting start-up wins US circular innovation award</t>
  </si>
  <si>
    <t>US start-up Sortile has won an award from media platform GreenBiz for combining machine learning and technology developed for blood analysis to develop a system for sorting clothes at textile recycling centres. The system uses near-infrared spectroscopy, an optical imaging technique normally used to measure blood oxygen levels, to identify the fibre composition of garments in half the time needed for manual inspection. Sortile says accurate sorting will boost the recycling of unwanted clothing, because fibre recyclers are often reluctant to take used clothes due to concern over quality.</t>
  </si>
  <si>
    <t>https://www.greenbiz.com/article/textile-recycling-tech-startup-triumphs-circularity-22s-accelerate-competition</t>
  </si>
  <si>
    <t>Modularity in equipment design central to circularity in IT departments, say experts</t>
  </si>
  <si>
    <t>Tech suppliers and corporate IT departments can play a valuable role in creating a circular economy through better design and disposal of equipment, experts argue, while hardware manufacturers need to use modularity at the product design stage to enable equipment to be easily upgraded rather than replaced. Colin Seward, a senior IT director in the UK at networking equipment group Cisco, points out that an industrial router can be converted from 4G to 5G simply by swapping out the relevant components, while modularity also facilitates remanufacturing and re-use. For IT departments, experts say the focus should be on driving circularity in the data centre, notably through purchase of refurbished equipment, setting goals for reusing and recycling products, and harnessing the heat created by its operations.</t>
  </si>
  <si>
    <t>https://techmonitor.ai/leadership/sustainability/circular-economy-it-cisco-cgi</t>
  </si>
  <si>
    <t>https://www.computerweekly.com/feature/IT-departments-need-holistic-circular-economies-to-fight-climate-change</t>
  </si>
  <si>
    <t>Digital passport brings circularity to clothing brands</t>
  </si>
  <si>
    <t>Clothing tech company EON is driving circularity in the fashion and accessories sector by providing a digital ID for each item, enabling it to be resold, repaired or recycled by the firm's commercial partners. Fashion brands can choose the type of digital fingerprint, such as a QR code or an RFID tag, to be added to each piece of clothing, with the data stored in the cloud and accessed from a mobile phone or other reader. Highlighted during the World Economic Forum in Davos, EON's approach chimes with the Product Circularity Data Sheets being introduced in Luxembourg to store product information using digital fingerprints.</t>
  </si>
  <si>
    <t>https://www.eongroup.co/</t>
  </si>
  <si>
    <t>https://www.weforum.org/videos/this-start-up-gives-clothes-a-digital-id-to-help-the-planet</t>
  </si>
  <si>
    <t>UK fashion retailer launches circular collection and resale trial</t>
  </si>
  <si>
    <t>UK online fashion retailer ASOS is launching a circular design collection and a trial partnership with fashion resale platform Thrift+. ASOS's second circular collection since 2020 features more than 40 clothes and accessories made from recycled or renewable materials. Separately, its customers can now request an ASOS x Thrift+ bag from its website, send unwanted clothes to Thrift+ for resale, and receive credits for buying items from the reseller's platform, donating to charity or redeeming ASOS vouchers. A total of 30,000 bags will be made available for the trial partnership.</t>
  </si>
  <si>
    <t>https://www.asosplc.com/news/asos-launches-second-circular-design-collection-and-trial-partnership-thrift/</t>
  </si>
  <si>
    <t>Circular focus for housing development on former Schifflange industrial site</t>
  </si>
  <si>
    <t>Circularity will be the principal focus of an urban redevelopment project to turn a former ArcelorMittal steelworks site into a new community at Schifflange in southern Luxembourg. Local and national authorities have collaborated on the Symbiosis project, which aims to share, recycle and reuse resources and infrastructure - particularly in the fields of water, energy and waste. Artificial intelligence and smart devices will help to manage the networks, while circularity will also feature during the construction phase with the use of materials from renewable sources.</t>
  </si>
  <si>
    <t>https://www.infogreen.lu/symbiosis-un-concept-urbain-circulaire.html</t>
  </si>
  <si>
    <t>Circu Li-ion gives used batteries a second life before recycling</t>
  </si>
  <si>
    <t>Luxembourg start-up Circu Li-ion is deploying technology to reuse batteries as part of a single loop value chain, tackling the growing problem of what to do with old lithium-ion cells. Through an automated multi-step process, Circu Li-ion upcycles used batteries, enabling clients to extend the sustainable use of their energy potential while also reducing operating costs. Up to 80% of a used battery’s cells could have a second life in this way, before recycling. When they do need to be recycled, a new facility in Norway will initially be able to process 12,000 tonnes of batteries a year - enough to power 25,000 electric vehicles. Owned by Hydrovolt, a joint venture between Norwegian aluminium manufacturer Hydro, which has a facility in Clervaux in Luxembourg, and Swedish battery producer Northvolt, the Fredrikstad plant can recover 95% of discarded battery materials, including plastics, copper, aluminium and black mass, a powder containing nickel, manganese, cobalt and lithium. Hydrovolt plans to increase the recycling capacity to 70,000 tonnes by 2025 and 300,000 by 2030.</t>
  </si>
  <si>
    <t>https://www.circuli-ion.com/</t>
  </si>
  <si>
    <t>https://www.recyclingtoday.com/article/hydrovolt-battery-recycling-norway-europe-jv/</t>
  </si>
  <si>
    <t>B-Circular platform: supporting circular procurement by local authorities in Luxembourg</t>
  </si>
  <si>
    <t>Klima-Agence, an energy efficiency agency supported by the Luxembourg government, has launched the B-Circular platform to help municipalities carry out sustainable and circular procurement. The platform provides local authorities with guidance on purchasing goods, such as office equipment and furniture, that meet sustainable/circular standards. Already tested by the municipal councils of Wiltz and Sanem, the platform is initially focusing on direct purchases by authorities, rather than procurement involving invitations to tender. The launch is part of a process of taking legislation, including the Pacte Climat and the 2022 waste prevention law, to the local level.</t>
  </si>
  <si>
    <t>https://www.pacteclimat.lu/fr/engagierter-akteur/news/plateforme-b-circular</t>
  </si>
  <si>
    <t>Luxembourg chooses circular design for Expo25 pavilion</t>
  </si>
  <si>
    <t>Luxembourg's economy minister Franz Fayot has announced that architectural studio SteinmetzDeMeyer has won the competition to create the Luxembourg Pavilion for the 2025 world's fair in Osaka after meeting the design requirements of circularity in building materials, sustainability and use of resources. The firm's winning collaboration with German exhibition specialist Jangled Nerves will offer a showcase for the grand duchy and its circular economy progress at Expo25 in Japan. The pavilion will incorporate three exhibition areas: an interactive Luxembourg World Lab, an introduction to the people of the grand duchy through images, and an immersive video experience of the Luxembourg countryside.</t>
  </si>
  <si>
    <t>https://gouvernement.lu/fr/actualites/toutes_actualites/communiques/2022/06-juin/10-fayot-pavillon-japon.html#:~:text=%C2%A9Steinmetzdemeyer-,Pavillon%20luxembourgeois,imaginer%20notre%20vie%20de%20demain%22.</t>
  </si>
  <si>
    <t>https://www.expo2025.or.jp/en/overview/</t>
  </si>
  <si>
    <t>New York state senate approves right to repair legislation</t>
  </si>
  <si>
    <t>New York's state senate has approved a Fair Repair Act that will require manufacturers of computers, tablets and mobile phones sold in the state to make tools, parts and instructions for repair available to consumers and independent shops. Subject to the expected endorsement of governor Kathy Hochul, the legislation will come into force in a year's time, setting an agenda that is likely to be emulated in other parts of the US. A further 25 states are reported to be considering right to repair legislation, in some cases extending the type of equipment covered to include farm machinery and cars.</t>
  </si>
  <si>
    <t>https://www.theverge.com/2022/6/3/23153504/right-to-repair-new-york-state-law-ifixit-repairability-diy</t>
  </si>
  <si>
    <t>https://www.recyclingtoday.com/article/new-york-approves-digital-right-to-repair/#:~:text=The%20bill%2C%20which%20allows%20customers,to%20Gov.%20Kathy%20Hochul's%20desk.&amp;text=The%20New%20York%20State%20Senate,information%20to%20repair%20personal%20electronics.</t>
  </si>
  <si>
    <t>World Economic Forum spotlights circularity at Davos annual meeting</t>
  </si>
  <si>
    <t>The challenges and opportunities involved in creating a more circular global economy were a key theme at the World Economic Forum annual meeting in Davos last month. Presentations and discussions examined the implications for specific industry sectors, along with transversal themes such as the role of innovation in driving circularity and the importance of looking beyond recycling.</t>
  </si>
  <si>
    <t>https://www.weforum.org/topics/circular-economy/</t>
  </si>
  <si>
    <t>https://www.weforum.org/videos/davos-annual-meeting-2022-changing-the-game-for-circular-innovation-english-f13193adf6</t>
  </si>
  <si>
    <t>https://www.weforum.org/agenda/2022/05/the-circular-economy-how-it-can-be-a-path-to-real-change/</t>
  </si>
  <si>
    <t>Circularity needs to embrace perspectives offered by diversity and inclusion: panel</t>
  </si>
  <si>
    <t>Circularity needs to meet the challenge of diversity and inclusion to enable projects to be both delivered and supported by black, indigenous and other communities, according to a panel of 10 students and young professionals from minority groups. Just as previous assumptions about the environment have proved to be wrong, circularity needs to be rethought to include voices that previously have gone unheard or been ignored, according to members of an emerging leaders programme created by California-based media platform GreenBiz.</t>
  </si>
  <si>
    <t>https://www.greenbiz.com/article/whats-missing-circular-economy-according-10-emerging-leaders</t>
  </si>
  <si>
    <t>Sustainable development council unveils framework to help companies measure circularity performance</t>
  </si>
  <si>
    <t>The World Business Council for Sustainable Development has published a framework of indicators to help companies measure the degree of circularity within their operations. The framework provides a methodology for measuring the reduction in emissions from circular practices, along with indicators for extending product lifetimes and guidance for firms in prioritising their circularity actions. An online tool is available to help businesses establish a circularity baseline and track their performance over time.</t>
  </si>
  <si>
    <t>https://www.wbcsd.org/Programs/Circular-Economy/Metrics-Measurement/News/The-linear-economy-is-reaching-the-end-of-the-line-business-must-adopt-circularity-to-stay-competitive</t>
  </si>
  <si>
    <t>Shaping consumer choices vital for success of circular policies: European Environment Agency</t>
  </si>
  <si>
    <t>Policies designed to promote circular choices among consumers need to take into account the many factors that shape individual behaviour if they are to succeed, according to &lt;em&gt;Enabling Consumer Choices for a Circular Economy&lt;/em&gt;, a report from the European Environment Agency. While price plays an important role, other issues such as the information available to consumers, social and community norms and role models, and brand loyalty and personal values all need to be considered, the authors say. They propose a range of policy option to address these issues, ranging from tax breaks to eco-labelling and product passports.</t>
  </si>
  <si>
    <t>https://www.eea.europa.eu/highlights/consumers-can-play-key-role</t>
  </si>
  <si>
    <t>African Development Bank launches fund to drive circularity innovation</t>
  </si>
  <si>
    <t>The African Development Bank Group has launched the Africa Circular Economy Facility, its first funding initiative to support circular innovations and policy frameworks. Due to run over a five-year period with an initial €4m from the Finnish government and the Nordic Development Fund, the facility will focus on three areas: strengthening the regulatory environment for circular innovation and practice; supporting the private sector through a business development programme; and providing technical assistance to the African Circular Economy Alliance, a coalition led by eight governments from across the continent.</t>
  </si>
  <si>
    <t>https://www.engineeringnews.co.za/article/afdb-launches-dedicated-circular-economy-fund-2022-06-01/rep_id:4136</t>
  </si>
  <si>
    <t>US funding platform aims to divert millions of tonnes of food waste from landfill</t>
  </si>
  <si>
    <t>New York circularity investment firm Closed Loop Partners and ReFed, a non-profit organisation that combats food waste, have launched the $100m Circular Food Solutions Funding Platform in the US. Its backers say the initiative, which comprises an $80m investment fund, $10m in grants and a $10m innovation programme, could lead to 10 million tons of food waste being diverted from landfill over its lifetime, along with related savings in water use and carbon emissions. Separately, Closed Loop has secured more than $200m at the close of its Leadership Fund, which aims to fund the scaling of business models for supply chains to keep packaging, organic matter, electronics and clothing out of landfills and within a circular system.</t>
  </si>
  <si>
    <t>https://refed.org/articles/refed-and-closed-loop-partners-announce-100m-funding-platform-to-scale-food-waste-solutions-with-funding-from-google-and-the-betsy-and-jesse-fink-family-foundation/</t>
  </si>
  <si>
    <t>https://www.closedlooppartners.com/closed-loop-partners-private-equity-fund-announces-final-close-managing-assets-in-excess-of-200m/</t>
  </si>
  <si>
    <t>Building group proposes roadmap for decarbonisation of buildings and construction in Europe</t>
  </si>
  <si>
    <t>The World Green Building Council has unveiled a policy roadmap for the EU intended to speed up progress toward decarbonising buildings and the construction industry by 2050. Developed with a coalition of more than 35 industry bodies, the plan calls for a doubling in the rate of renovation of Europe's ageing housing stock and better regulation of the lifecycle emissions of new buildings, since many materials and processes are carbon-intensive. The roadmap covers four policy routes: building regulations, waste and circularity, sustainable procurement, and sustainable finance. Jan Jenisch, CEO of sustainable construction products group Holcim, has described the circular economy as the greatest business opportunity of the present time in a paper for the World Economic Forum in Davos.</t>
  </si>
  <si>
    <t>https://www.worldgbc.org/news-media/construction-leaders-across-europe-launch-eu-policy-roadmap-towards-climate-neutral</t>
  </si>
  <si>
    <t>https://www.weforum.org/agenda/2022/05/why-the-circular-economy-is-the-business-opportunity-of-our-time/</t>
  </si>
  <si>
    <t>International academic conference on circularity scheduled for June</t>
  </si>
  <si>
    <t>The World Academy of Science, Engineering and Technology is organising the International Conference on Circular Economy and Sustainability, a two-day event in London on June 27-28 for academic scientists and researchers in the field of circularity. The organisers' aim is to exchange and share experiences and research results, and discuss the latest innovations, trends and practical challenges in the field. Conference proceedings can also be followed online.</t>
  </si>
  <si>
    <t>https://waset.org/circular-economy-and-sustainability-conference-in-june-2022-in-london</t>
  </si>
  <si>
    <t>Hannover Messe to showcase circular economy solutions</t>
  </si>
  <si>
    <t>Circularity is becoming an increasingly important issue at the Hannover Messe trade fair amid the increasing scarcity of raw materials, according to chairman Dr. Jochen Koeckler. This year’s event from May 30 to June 2 will see circularity and sustainability highlighted in both the exhibition areas and the conference programme, which will be streamed live to online audiences. The Karlsruhe Institute of Technology will be showcasing circular projects at the fair, along with the 96-member Open Industry 4.0 Alliance, which focuses on digitalisation, in particular digital twin technology.</t>
  </si>
  <si>
    <t>https://www.ien.eu/article/hannover-messe-2022-ensuring-security-of-supply-and-growth-in-a-dynamically-changing-world-while-c/</t>
  </si>
  <si>
    <t>https://www.newswise.com/articles/hannover-messe-2022-digitalization-and-sustainability-considered-in-one-context</t>
  </si>
  <si>
    <t>https://www.hannovermesse.de/en/news/industry-trends/circular-economy</t>
  </si>
  <si>
    <t>Economy Ministry highlights Product Circularity Data Sheet on YouTube</t>
  </si>
  <si>
    <t>Luxembourg’s Economy Ministry has produced a YouTube video to explain the Product Circularity Data Sheet, an key element in the country’s transition to the circular economy. The video demonstrates the role of the data sheet as a digital data fingerprint providing information about the materials used in a manufacturer’s product and indications as to whether it has been designed for easy repair, disassembly and re-use.</t>
  </si>
  <si>
    <t>https://www.youtube.com/watch?v=eNbQVlfKLgQ</t>
  </si>
  <si>
    <t>Consumer choices can play vital role in switch to circular and sustainable development: Economy Ministry’s Laurence Tock</t>
  </si>
  <si>
    <t>Manufacturing processes in the linear economy are responsible for half of global greenhouse gas emissions, while resource extraction contributes significantly to other problems such as the decline of biodiversity, water stress and illegal waste dumping, according to Laurence Tock, executive officer for the circular economy and sustainable technologies at Luxembourg's Economy Ministry. She says fundamental changes are needed in the extraction of materials and production, but consumers can also help the grand duchy meet the challenges of circularity and sustainable development by changing their buying habits in order to avoid waste and increase products' lifespan.</t>
  </si>
  <si>
    <t>https://www.spuerkeess.lu/fr/blog/le-coin-des-experts/au-revoir-economie-lineaire-bonjour-economie-circulaire/</t>
  </si>
  <si>
    <t>Cleantech investment firms launch innovation fund to help new circular firms</t>
  </si>
  <si>
    <t>Two cleantech investment firms, Canada's Cycle Capital and France's Demeter, have joined L’Oréal, which is contributing €50m, and other investors to launch the €150m Circular Innovation Fund, which will support circular economy start-ups in North America, Europe and Asia. The fund's managers will look for firms that contribute to climate change mitigation and circular use of resources in fields such as new materials, packaging, recycling and waste, logistics and eco-efficient processes and design.</t>
  </si>
  <si>
    <t>https://www.privateequitywire.co.uk/2022/04/22/313949/cycle-capital-and-demeter-hold-first-close-new-circular-innovation-fund</t>
  </si>
  <si>
    <t>https://www.pehub.com/cycle-capital-and-demeter-wraps-up-new-cif-fund/</t>
  </si>
  <si>
    <t>Amazon and Virgin boost support for sustainability start-ups</t>
  </si>
  <si>
    <t>Amazon has announced 12 successful candidates from 1,200 applicants in the UK and continental Europe to receive £30,000 each through its Launchpad Sustainability Accelerator. The programme is a partnership with the EU’s climate innovation scheme, EIT Climate-KIC, and is intended to help Amazon deliver on its broader pledge to invest $2bn in sustainable innovations this decade. Virgin Startup has reopened its Collective Impact programme providing sustainability-focused firms with a five-week course on fundraising and branding.</t>
  </si>
  <si>
    <t>https://www.edie.net/amazon-and-virgin-celebrate-milestones-on-sustainable-start-up-accelerator-schemes/</t>
  </si>
  <si>
    <t>Di Caprio in the spotlight with circularity fund for consumer products</t>
  </si>
  <si>
    <t>Actor Leonardo Di Caprio is taking a leading role in the launch of Regeneration.VC, a venture capital firm that has just closed a $45m fund to invest in circular and regenerative approaches to consumer industries. Di Caprio is joined by American architect and circular economy pioneer William McDonough among advisors to the fund, which is focusing on design (packaging and materials), use (products and brands) and re-use (reverse logistics and marketplaces). Five start-ups have already received funding toward a final target of 17.</t>
  </si>
  <si>
    <t>https://www.forbes.com/sites/annefield/2022/04/20/with-leonardo-dicaprio-as-an-advisor-45-million-circularregenerative-economy-fund-launches/?sh=5d6f6b9f5700</t>
  </si>
  <si>
    <t>UK government plans mandatory digital tracking of waste</t>
  </si>
  <si>
    <t>The UK government is planning to introduce mandatory digital waste tracking as part of a shift toward a more circular economic model. Due to be implemented next year or in 2024, the initiative is intended to create a unified digital system from what are currently fragmented arrangements to provide a single comprehensive means of tracking the amount and type of waste being produced and its ultimate destination. By transforming the way that regulators monitor compliance with waste regulations, the government says, it should also help prevent offences such as fly-tipping and illegal waste exports.</t>
  </si>
  <si>
    <t>https://www.gov.uk/government/publications/digital-waste-tracking-service/mandatory-digital-waste-tracking</t>
  </si>
  <si>
    <t>European Parliament calls for tougher line on harmful chemicals in waste</t>
  </si>
  <si>
    <t>Members of the European Parliament have called on the European Commission to tighten up its proposed limits on the level of persistent organic pollutants that manufacturers can use in their products. The Commission's proposals include limiting brominated flame retardants to 500 milligrams per kilo, while perfluorooctanoic acid, which is used in waterproof textiles and fire-fighting foams, should not exceed 40 mg per kilo. However, MEPs are demanding that the limits on the two products be lowered to 200 mg/kg and 20 mg/kg respectively, and are set to begin negotiations with member states on finalising the rules.</t>
  </si>
  <si>
    <t>https://www.europarl.europa.eu/news/en/press-room/20220429IPR28233/circular-economy-meps-want-to-reduce-harmful-chemicals-in-waste</t>
  </si>
  <si>
    <t>Luxembourg’s parliament approves anti-waste legislation</t>
  </si>
  <si>
    <t>Reducing waste, limiting the use of single-use plastic and banning junk mail from people’s letterboxes are among the targets of the five pieces of legislation making up Luxembourg's Circular Economy Package, which was approved by the Chamber of Deputies last month. The legislation will mean changes for consumers' shopping habits, along with an increase in the recycling provision available at supermarkets and the banning of plastic bottles, plates and cutlery at events, as well as the recovery and recycling of batteries and the treatment of electronic waste.</t>
  </si>
  <si>
    <t>https://environnement.public.lu/fr/actualites/2022/04/paquet-economie-circulaire.html</t>
  </si>
  <si>
    <t>https://paperjam.lu/article/ce-que-loi-dechets-va-changer-</t>
  </si>
  <si>
    <t>https://www.infogreen.lu/un-paquet-legislatif-pour-aller-du-dechet-a-la-ressource.html</t>
  </si>
  <si>
    <t>Researchers develop techniques to enable higher wooden buildings</t>
  </si>
  <si>
    <t>The use of timber rather than steel and concrete in multi-storey buildings is gaining ground as scientists, engineers and entrepreneurs develop new techniques that enhance the sustainability of the construction industry. In Canada, researchers at Thunder Bay's Lakehead University have patented a mechanism for joining together large engineered beams and columns, contributing to the growth of a sector that has constructed 700 tall timber buildings in the country, including eight more than 13 storeys high. In Europe, recent projects include the Sara Kulturhus complex at Skellefteå in Sweden, which rises 75 metres and 20 storeys, and the HoHo office, hotel and residential complex in Vienna, at 84 metres and 24 storeys.</t>
  </si>
  <si>
    <t>https://www.cbc.ca/news/canada/thunder-bay/thunder-bay-mass-timber-construction-innovation-1.6439096</t>
  </si>
  <si>
    <t>https://architecturetoday.co.uk/sara-cultural-centre-kulturhus-white-arkitekter-tall-timber-sweden/</t>
  </si>
  <si>
    <t>https://www.hoho-wien.at/en/</t>
  </si>
  <si>
    <t>Study examines strategies and challenges of circular water economy</t>
  </si>
  <si>
    <t>Academics at three Dutch institutions have identified strategies for improving the circularity of water, starting with a set of definitions and terminology that can be agreed by international scientists and policymakers. Along with outlining strategies for achieving circularity, their report - &lt;em&gt;The Circular Economy of Water: Definition, Strategies, and Challenges&lt;/em&gt; - examines the challenges in terms of legislation, governance and implementation in the transition to a circular water economy.</t>
  </si>
  <si>
    <t>https://dividendwealth.co.uk/clear-definitions-should-lead-to-new-opportunities-for-the-circular-economy-of-water/</t>
  </si>
  <si>
    <t>https://link.springer.com/article/10.1007/s43615-022-00165-x</t>
  </si>
  <si>
    <t>Luxembourg fund oversubscribed as Europe’s bioeconomy booms</t>
  </si>
  <si>
    <t>Flourishing European bioeconomy firms include Protix, a Dutch company that turns food waste into insect-derived protein for animal feed, Prolupin, a German start-up producing milk alternatives from the lupin plant, and Dutch firm Myco Tex, which manufactures clothing and bags from fungal roots. The EU-backed and Luxembourg-based European Circular Bioeconomy Fund, which has invested in Protix and Prolupin, completed fundraising in February with €300m, oversubscribed from an original target of €250m.</t>
  </si>
  <si>
    <t>https://sifted.eu/articles/bioeconomy-europes-biggest-hidden-opportunity/</t>
  </si>
  <si>
    <t>Scientists call for circularity boost in US textiles sector</t>
  </si>
  <si>
    <t>US scientists have called for greater circularity in a national textiles industry that currently sends 85% of its used products to landfill. While the National Institute of Standards and Technology report &lt;em&gt;Facilitating a Circular Economy for Textiles&lt;/em&gt; also covers shoes, bedding, towels, upholstery fabrics and carpeting, the main source of waste – at 47 kilos per person in 2018 – is clothing. The authors put forward a range of proposals for consumers, companies and policymakers to develop greater circularity, ranging from raising awareness among the public to product and circularity standards for companies, plus incentives and procurement policies for government agencies.</t>
  </si>
  <si>
    <t>https://www.nist.gov/blogs/taking-measure/your-old-clothes-can-come-full-circle-textile-recycling</t>
  </si>
  <si>
    <t>https://nvlpubs.nist.gov/nistpubs/SpecialPublications/NIST.SP.1500-207.pdf</t>
  </si>
  <si>
    <t>EU-funded research programmes making progress on extraction and recycling of raw materials</t>
  </si>
  <si>
    <t>Technological advances in the extraction and recycling of critical raw materials – such as cobalt, lithium, titanium and rare earth elements – have been achieved by a set of seven EU-funded research programmes, according to a progress report. The projects, which have a particular focus on exploiting waste streams, include the Nemo and Removal circular economy programmes for extracting critical raw materials from mining waste for the construction industry.</t>
  </si>
  <si>
    <t>https://cordis.europa.eu/article/id/436347-safety-sustainability-and-security-for-europe-s-mineral-processing-industry</t>
  </si>
  <si>
    <t>Managers believe circularity is ideal for supply chain technology: IBM survey</t>
  </si>
  <si>
    <t>Senior managers in charge of supply chain technology at major companies see circularity as the way forward, according to an IBM study. Its survey of nearly 500 chief supply chain officers found that 66% believe sustainability to be a core element of business value, with 51% saying they would be willing to sacrifice an average of 5% of company profit to become more sustainable. The most popular means of achieving that are to increase the reuse of materials and reduce waste (47%), improve the energy efficiency of their products and services (44%), and develop new products and services based on use of renewable energy (35%).</t>
  </si>
  <si>
    <t>https://newsroom.ibm.com/2022-04-28-More-than-Half-of-Chief-Supply-Chain-Officers-Surveyed-Would-Sacrifice-Profit-for-Sustainability</t>
  </si>
  <si>
    <t>Fashion brand Mango opts for reuse and recycling</t>
  </si>
  <si>
    <t>Spanish fashion company Mango is launching a programme for the collection, reuse and recycling of its clothing in Switzerland, Germany, Poland and Turkey, and plans to expand the service to Luxembourg and other European countries. The move is being made in partnership with I:CO, a Soex group subsidiary specialising in the collection, reuse and recycling of clothing and footwear. Items from any brand are deposited in a designated Committed Box at Mango retail outlets and sorted and processed by I:CO, either for reuse or for one of its two recycling programmes: Closed Loop for textiles and footwear, and Open Loop for sectors including automobiles and construction.</t>
  </si>
  <si>
    <t>https://fashionunited.uk/news/business/mango-teams-up-with-i-co-to-advance-circular-economy-strategy/2022041462618</t>
  </si>
  <si>
    <t>https://www.ico-spirit.com/en/services/</t>
  </si>
  <si>
    <t>Rental business model for IT equipment gathers pace</t>
  </si>
  <si>
    <t>Flex IT, a Dutch circular IT company that provides equipment on a rental basis, is expanding with the acquisition of MKCL, a German firm providing similar services for hardware manufacturers such as Lenovo and corporate customers. Operating in 12 European countries, Flex IT offers new and refurbished PCs and laptops under warranty, while MKCL provides hardware for demonstration events. The move from purchase to rental is also underway in Luxembourg, where Rflex, a member of Rgroupe, offers equipment leasing in the IT, security, industrial and medical fields.</t>
  </si>
  <si>
    <t>https://flexitdistribution.com/flex-it-acquires-mkcl/</t>
  </si>
  <si>
    <t>https://www.rflex.lu/en/home/</t>
  </si>
  <si>
    <t>Companies underestimate complexity of shift towards circular model: study</t>
  </si>
  <si>
    <t>Companies tend to underestimate the processes involved in moving towards a circular business model, a transition that is nowhere near as simple as reducing, reusing, remanufacturing and recycling. A seven-year study conducted by academics at France's INSEAD and Sweden's Chalmers University examined the challenges and rewards experienced by white goods manufacturer Gorenje in its shift from selling to leasing its products. More than just a matter of product design, the transition has also involved a review of processes from customer relationships to return logistics, remanufacturing operations and service contracts.</t>
  </si>
  <si>
    <t>https://knowledge.insead.edu/operations/designing-a-circular-business-strategy-that-works-18491</t>
  </si>
  <si>
    <t>https://research.chalmers.se/publication/527017/file/527017_Fulltext.pdf</t>
  </si>
  <si>
    <t>Flax-based bridge construction uses composite material with properties similar to steel</t>
  </si>
  <si>
    <t>The first of a series of bridges made from flax in the Netherlands and Germany is set to open, drawing on work by the EU's Smart Circular Bridge project to turn the plant’s fibres into a building material for the construction industry. The flax is combined with a bio-resin to produce a light and highly stable material with properties comparable to aluminium or steel. Produced by a consortium led by the Eindhoven University of Technology, the first 15-metre bridge is opening at a horticultural exhibition in Almere near Amsterdam, with two more to follow for pedestrians and cyclists at Ulm in Germany and the Dutch town of Bergen op Zoom by the end of 2023.</t>
  </si>
  <si>
    <t>https://innovationorigins.com/en/selected/building-a-high-tech-bridge-with-flax/</t>
  </si>
  <si>
    <t>Researchers focus on carbon dioxide reuse as step toward large-scale capture</t>
  </si>
  <si>
    <t>A growing number of companies around the world are developing systems for converting carbon dioxide emissions from industrial facilities into products such as fuels, polymers, other chemicals and building materials. Critics argue that creating short-lifecycle products such as fuel will only delay rather than prevent the dispersion of carbon dioxide into the atmosphere. Others point to the value of long-cycle products such as construction materials, and argue that products of both kinds will help the technology needed for future direct air capture of greenhouse gases to mature, even if the ultimate goal is to replace all fossil carbon fuel with sustainable alternatives.</t>
  </si>
  <si>
    <t>https://www.nature.com/articles/d41586-022-00807-y</t>
  </si>
  <si>
    <t>Switzerland’s ReCircle develops reusable pizza boxes</t>
  </si>
  <si>
    <t>ReCircle, a Swiss firm specialising in reusable packaging for the food and drink sector, says it is launching Europe’s first reusable box for pizzas. Developed with two other Swiss companies, Ad Rem Design and injection moulding firm Stefan Kälin, the boxes are designed to keep the food hot and for return to participating restaurants for reuse. ReCircle, which already has 50,000 cups and food boxes in circulation, estimates that around 40 million pizza boxes are used every year in Switzerland – all of which are discarded as general waste.</t>
  </si>
  <si>
    <t>https://www.recircle.ch/en/news#toc5278</t>
  </si>
  <si>
    <t>https://www.estherbeck.ch/fr/blog/recircle-la-nouvelle-box-pizza-evitera-quantite-de-dechets-non-recyclables/</t>
  </si>
  <si>
    <t>European asset managers unveil circular economy funds</t>
  </si>
  <si>
    <t>UK hedge fund firm Man GLG has launched the Sustainable Water and Circular Economy fund, an equity strategy that will invest in projects meeting at least four of the UN Sustainable Development Goals. It will be the firm’s first to be classified as having a sustainable purpose under article 9 of the EU’s Sustainable Finance Disclosure Regulation. Another UK alternative investment business, Foresight Capital Management, has unveiled the Foresight Sustainable Future Themes Fund, whose five focus areas include the circular economy alongside sustainable energy, sustainable food, land and forestry, health and education, and the digital world.</t>
  </si>
  <si>
    <t>https://www.hedgeweek.com/2022/03/31/313382/man-glg-launches-sustainable-water-and-circular-economy-fund</t>
  </si>
  <si>
    <t>https://www.foresightgroup.eu/news/foresight-launches-sustainable-future-themes-fund-expanding-oeic-range/</t>
  </si>
  <si>
    <t>German technology subscription start-up Grover raises $330m</t>
  </si>
  <si>
    <t>Grover, a Berlin-based company offering electronic devices via a subscription rather than an ownership model, has raised $330m to develop its services and move into new markets, including the US. Valued at more than $1bn after the latest fundraising, the firm says its most popular rental offerings are smartphones, laptops, tablets, monitors, smartwatches and electric scooters. Grover says the average number of device users over a period of several years is at least four, although a GoPro camera currently in stock has been circulated 27 times.</t>
  </si>
  <si>
    <t>https://techcrunch.com/2022/04/06/grover-grabs-330m-to-double-down-on-the-circular-economy-with-consumer-electronics-subscriptions/</t>
  </si>
  <si>
    <t>Hackathon seeks answers to climate change and circularity challenges</t>
  </si>
  <si>
    <t>Budding technology innovators are being invited to take part in a €50,000 hackathon sponsored by Turkish domestic appliance group Beko next month to tackle the challenges of climate change, water management and the circular economy. The 'Hack the Normal Sustainability' event will run from May 13 to 15 and aims to attract hundreds of European entrepreneurs, engineers and developers with innovative solutions to sustainability challenges. Along with the cash prize pool, winning teams will also receive coaching and other assistance to scale up their innovations.</t>
  </si>
  <si>
    <t>https://www.prnewswire.co.uk/news-releases/beko-launches-hackathon-to-encourage-unique-ideas-and-develop-solutions-to-create-a-positive-impact-on-people-and-the-planet-878211753.html</t>
  </si>
  <si>
    <t>SAP sets out case for digital platforms to drive circular economy shift</t>
  </si>
  <si>
    <t>Digital platforms can help businesses manage waste and make design changes to ensure products are recyclable, according to Stephen Jamieson, SAP’s global head of circular economy. In a presentation to the Sustainability Live conference, now available to view on its website, Jamieson says SAP is focused on three areas of circularity: waste elimination, circulating materials, and regeneration. The company's offerings include a responsible design and production tool to help firms calculate their extended producer responsibilities, rural sourcing management to track the supply chain for agribusiness firms, and a logistics business network for monitoring supply of raw material.</t>
  </si>
  <si>
    <t>https://sustainabilitymag.com/sustainability/saps-stephen-jamieson-on-circular-economy-implementation</t>
  </si>
  <si>
    <t>Consortium develops prototype of fully recyclable wind turbine blade</t>
  </si>
  <si>
    <t>An international consortium says it has developed a prototype of the world’s largest wind turbine blade to be made from thermoplastic resin – a material that makes it easy to recycle – and high-performance fibreglass. A chemical recycling process is used to depolymerise the resin fully, separate the fibres and recover both resin and fibreglass. Work is underway to reuse the fibreglass in new applications or recycle it through remelting. Designed and manufactured at a Spanish plant belonging to LM Wind Power, part of GE Renewable Energy, the 62-metre prototype took a year to develop. Zebra, the zero-waste blade research consortium, expects the project to be completed in 2023.</t>
  </si>
  <si>
    <t>https://www.offshorewind.biz/2022/03/17/first-fully-recyclable-wind-turbine-blade-rolls-out/</t>
  </si>
  <si>
    <t>UK health service urged to adopt circular model to achieve 2040 net zero target</t>
  </si>
  <si>
    <t>The UK’s National Health Service needs to move more quickly to a circular model in order to achieve its ambition of net zero ambitions by 2040 as well as to  improve patient care, according to a study by researchers at the University of Exeter. To reduce an annual footprint of nearly 25 million tonnes of carbon dioxide equivalent, including its supply chain, the authors put forward 45 recommendations for the NHS, its suppliers and regulators. For the health service, they focus on using procurement to drive change on the part of suppliers and becoming a test bed for circular models and low-carbon technology. Suppliers are urged to strengthen efforts to curb Scope 1 and 2 emissions, and show evidence of Scope 3 reductions, while regulators should enhance circular standards and certification, while providing funding for innovation.</t>
  </si>
  <si>
    <t>https://www.circularonline.co.uk/news/report-widescale-shift-to-circular-economy-needed-for-nhs-to-meet-2040-net-zero-goal/</t>
  </si>
  <si>
    <t>Netherlands set to ban disposable packaging for food and drink</t>
  </si>
  <si>
    <t>The Dutch government is to ban disposable plastic cups and meal packaging from on-site use in the hospitality industry, festivals and workplaces from 2024. Officials estimate that 19 million single-use cups and food packages are thrown away in the Netherlands every day, and their aim is to move to coffee mugs in the office, reusable tableware in canteens, and washable beer glasses at events and festivals. The new law will not apply to plastic packaging used for takeaway food and drinks in these locations, although an additional fee will be imposed on such items from July next year.</t>
  </si>
  <si>
    <t>https://verive.eu/en/articles/sup-in-nl-2022-update</t>
  </si>
  <si>
    <t>European Commission unveils initiatives to accelerate circular economy transition</t>
  </si>
  <si>
    <t>The European Commission has unveiled four measures intended to speed up the transition to a circular economy: a sustainable products initiative, a strategy for sustainable and circular textiles, proposals for revision of the EU's Construction Products Regulation, and new rules giving more power to consumers. The European Environmental Bureau, which represents around 170 civic organisations in 35 countries, has given a mixed reaction to the package - applauding the intention, but raising doubts about how quickly and how strictly the measures would be implemented.</t>
  </si>
  <si>
    <t>https://ec.europa.eu/commission/presscorner/detail/en/ip_22_2013</t>
  </si>
  <si>
    <t>https://www.recycling-magazine.com/2022/03/30/new-circular-economy-package-set-to-be-a-game-changer/</t>
  </si>
  <si>
    <t>UN’s Food and Agriculture Organisation highlights applications of timber in bioeconomy</t>
  </si>
  <si>
    <r>
      <rPr>
        <sz val="10"/>
        <color theme="1"/>
        <rFont val="Arial"/>
      </rPr>
      <t xml:space="preserve">The timber industry has the potential to replace a wide range of products that currently entail the emission of greenhouse gases, according to &lt;em&gt;Forest Products in the Global Bioeconomy&lt;/em&gt;, a report by the United Nations Food and Agriculture Organisation and the European Forest Institute. Current applications include engineered wood products for the construction sector, wood foam for insulation, bioplastics for packaging, and wood-based fibres for textiles. Meanwhile, work is underway on a lignin-based anode material to substitute the fossil-based graphite used in rechargeable batteries, along with wood-based composites for injection moulding and 3D printing, and nanocellulose-based filters for microplastics. Along with examining the challenges and opportunities facing the timber industry, the  study offers recommendations for public policymakers and the private sector.
</t>
    </r>
    <r>
      <rPr>
        <b/>
        <sz val="10"/>
        <color theme="1"/>
        <rFont val="Arial"/>
      </rPr>
      <t>Construction advances in Luxembourg</t>
    </r>
    <r>
      <rPr>
        <sz val="10"/>
        <color theme="1"/>
        <rFont val="Arial"/>
      </rPr>
      <t xml:space="preserve">
 Luxembourg’s use of wood in modern construction was highlighted at the Forum Bois Construction trade fair at nearby Nancy in France on April 7 and 8. The Luxinnovation booth showcased nearly 120 projects involving members of Luxembourg’s Order of Architects and Construction Engineers, and both public and private developers such as the Fonds du Logement and IKO Real Estate. Along with wood products, some of the projects incorporate other bio-sourced materials such as straw, grass and hemp. At the event, Minister for Energy and Spatial Planning Claude Turmes promoted the EU Interreg programme to accelerate collaboration on the wood value chain in the Greater Region.</t>
    </r>
  </si>
  <si>
    <t>https://www.fao.org/3/cb7274en/cb7274en.pdf</t>
  </si>
  <si>
    <t>https://www.agriland.ie/farming-news/new-report-on-wood-products-released-to-mark-international-day-of-forests/</t>
  </si>
  <si>
    <t>https://www.luxinnovation.lu/news/luxinnovation-at-the-forum-bois-construction/</t>
  </si>
  <si>
    <t>https://www.oai.lu/fr/26/accueil/mediatheque/mediatheque/0-mode-news-id-1156/?CC=OK</t>
  </si>
  <si>
    <t>European Environment Agency examines novel digital options to measure circular transition</t>
  </si>
  <si>
    <t>The European Environment Agency is considering innovative digital methods of assessing Europe's transition to a circular economy, such as tracking Google searches for car sharing and monitoring audience numbers for self-help videos on repairing consumer goods. Other sources of data could include figures on the number of people applying for a tax break for professional repair activities, in countries where these are available, and the identity of products being logged at repair cafés. The EEA’s report argues that although these data sources may not be standardised across all EU countries, enough exist to contribute to improved monitoring of the transition.</t>
  </si>
  <si>
    <t>https://www.eea.europa.eu/publications/monitoring-the-circular-economy-with</t>
  </si>
  <si>
    <t>Canada unveils net zero emission strategy and funding for clean tech businesses</t>
  </si>
  <si>
    <t>Canada's prime minister Justin Trudeau has announced a 2030 emissions reduction plan, while Ottawa government ministers have pledged additional financial support for clean tech companies during the Globe Forum event in Vancouver. The government is calling on the private sector to submit project proposals for funding from its C$8bn Net Zero Accelerator, with the aim of reducing Canada's greenhouse gas emissions substantially by 2030 and putting the country on track to achieve its target of net zero by 2050. Launched in 2020, the accelerator will use the fresh funding to address the needs of large emitters in key industries, such as the automobile, aerospace, agriculture and agrifood sectors.</t>
  </si>
  <si>
    <t>https://sustainablebiz.ca/canada-launches-call-for-industrial-net-zero-projects/</t>
  </si>
  <si>
    <t>https://www.canada.ca/en/innovation-science-economic-development/news/2022/03/government-of-canada-launches-call-to-action-targeting-industrial-decarbonization-of-high-emitting-sectors.html</t>
  </si>
  <si>
    <t>Circularity in spotlight at Belgium-Luxembourg Business Club meeting</t>
  </si>
  <si>
    <t>Luxembourg’s circular economy strategy will be outlined to delegates at a corporate event hosted by the Belgium-Luxembourg Business Club in Brussels on May 3. Jérôme Petry, the project leader for digital industry, new technology and research at the grand duchy's Economy Ministry, will present the principles and associated policy levers for delivering circularity, while other keynote speakers will examine the implementation of circular business models. The event is supported by hub.brussels, Luxembourg's embassy in Belgium and the Luxembourg Chamber of Commerce.</t>
  </si>
  <si>
    <t>https://www.bcbl.be/events/detail/?tx_ttnews[backPid]=5&amp;tx_ttnews[tt_news]=560</t>
  </si>
  <si>
    <t>US circular investment firm offers funding of start-ups that join business accelerator</t>
  </si>
  <si>
    <t>Closed Loop Partners, a US investment company specialising in the circular economy, says it is offering competitively-priced financing of up to $5m per project for circular start-ups that join NextCycle, an accelerator-style programme run by consultancy firm Resource Recycling Systems. NextCycle, which currently operates in the states of Colorado, Michigan and Washington, is seeking firms developing solutions for recovering post-consumer recyclable materials, with a focus on polyethylene terephthalate and aluminium. It is also looking for innovative collection systems for polyethylene and polypropylene.</t>
  </si>
  <si>
    <t>https://www.closedlooppartners.com/closed-loop-partners-pledges-up-to-5-million-to-support-innovations-from-rrs-nextcycle-initiative/</t>
  </si>
  <si>
    <t>Sustainable development group urges firms to see potential in today’s waste</t>
  </si>
  <si>
    <t>Companies need to start viewing their waste as a new source of revenue that can also reduce their greenhouse gas emissions, according to Maayke-Aimée Damen, director of circular economy at the World Business Council for Sustainable Development. Damen cites waste products ranging from orange peel and coffee grinds to industrial sludge and railway sleepers that have created value in new applications. Damen’s job title also reflects a growing trend among businesses such as Google, Amazon and Philips to create posts in which circular economy professionals can help lead the transition from linear business models. Davis Bourne, Google’s circular economy strategy lead, is helping the group increase the circularity of its electronic products by using recycled components.</t>
  </si>
  <si>
    <t>https://theinnovator.news/interview-of-the-week-maayke-aimee-damen-world-business-council-for-sustainable-development/</t>
  </si>
  <si>
    <t>https://stanforddaily.com/2022/02/10/google-is-working-to-incorporate-recycled-components-into-its-products-circular-economy-strategist-says/</t>
  </si>
  <si>
    <t>Luloop brings deposit-return cups to Luxembourg</t>
  </si>
  <si>
    <t>Luxembourg start-up Luloop is replacing the disposable cups given away by coffee shops, take-away food outlets and company premises with a deposit-return cup that can be reused up to 1,000 times. Customers can reduce waste and avoid having to bring a cup from home by paying the €1 deposit, which is then returned by any participating outlet. Made from fully-recyclable plastic polypropylene and available in three different sizes, Luloop cups are designed to be reprocessed by its manufacturer into new raw material at the end of their useful life, but can also be taken to any recycling centre in Luxembourg.</t>
  </si>
  <si>
    <t>https://www.luloop.lu/</t>
  </si>
  <si>
    <t>France’s Dassault develops lifecycle environmental impact system</t>
  </si>
  <si>
    <t>French industrial group Dassault Systèmes has launched a system to help companies minimise the environmental impact of their products and move to a more circular business model. Using digital twins and life cycle assessments, Dassault's Sustainable Innovation Intelligence initiative covers impact from the design stage to production and use. The system draws on an inventory of more than 18,000 datasets about human activity and industrial processes created by its non-profit partner in the project, the Zurich-based ecoinvent Association.</t>
  </si>
  <si>
    <t>https://www.3ds.com/newsroom/press-releases/dassault-systemes-introduces-life-cycle-assessment-solution-3dexperience-platform-transform-sustainable-innovation-process</t>
  </si>
  <si>
    <t>UK innovation agency awards £30m to plastic packaging projects</t>
  </si>
  <si>
    <t>UK Research and Innovation has awarded £30m in grants to 18 projects as part of the government agency's Smart Sustainable Plastic Packaging Challenge, which aims to develop packaging that can be refilled, easily recycled and produced from more sustainable materials. The funding recipients include five large-scale demonstrator projects that focus on three key challenges: reuse and refilling, food-grade polypropylene recycling, and plastic packaging and films recycling. A further 13 business-led research and development projects will support the products and processes being created by firms for sorting, recycling, reuse or waste avoidance.</t>
  </si>
  <si>
    <t>https://www.ukri.org/news/plastic-packaging-innovations-receive-30-million-boost-from-ukri/</t>
  </si>
  <si>
    <t>https://www.circularonline.co.uk/news/30-million-boost-for-plastic-packaging-reuse-and-recycling-innovations/</t>
  </si>
  <si>
    <t>World Economic Forum showcases innovative projects for accelerator programme</t>
  </si>
  <si>
    <t>The World Economic Forum has chosen 17 innovations from start-ups for its Circulators Accelerator cohort for 2022. Selected from close to 400 applications, the innovations range from reusable zero-waste building blocks for the construction industry to biodegradable sanitary pads made from banana and bamboo fibres, as well as a blockchain-enabled marketplace for retailers’ unused fabrics and software for businesses to analyse and track their production waste.</t>
  </si>
  <si>
    <t>https://www.weforum.org/agenda/2022/02/the-circular-accelerator-2022-cohort-launch/</t>
  </si>
  <si>
    <t>Dutch experts says innovation can boost circularity in infrastructure</t>
  </si>
  <si>
    <t>Asphalt made from grass and a digital platform for trading in used bridges are among the innovations being harnessed in the Netherlands to boost circularity in civil infrastructure. In a report entitled &lt;em&gt;Circular Infrastructure: the Road Towards a Sustainable Future,&lt;/em&gt; experts from Dutch organisations say innovation can help tackle the challenge of circularity in a construction sector that consumes 60% of the world’s materials and creates 53% of its greenhouse gas emissions. Presented during the Circular Europe Days at the Dubai World Expo, the report examines circularity in the design, construction and end-of-life stages of infrastructure such as roads, bridges, railways and waterways.</t>
  </si>
  <si>
    <t>https://hollandcircularhotspot.nl/wp-content/uploads/2022/01/NL-Branding-Circular-Infrastructure.pdf</t>
  </si>
  <si>
    <t>Consumer firms aim to boost circularity of flexible packaging</t>
  </si>
  <si>
    <t>Five of the world's leading food and consumer goods groups, Mars, Mondelez International, Nestlé, PepsiCo and Unilever, have announced a commitment to make flexible plastic packaging more circular in Europe, drawing up a five-point plan to increase collection, sorting and recycling. At present, packaging is not widely recycled and accounts for a substantial proportion of waste in the EU.</t>
  </si>
  <si>
    <t>https://flexiblepackaginginitiative.eu</t>
  </si>
  <si>
    <t>EU officials say Ukraine conflict increases urgency of circular economy</t>
  </si>
  <si>
    <t>The conflict in Ukraine and its impact on energy prices and raw material supplies has made it even more important for EU countries to transition to a circular economy, European Commission vice-president Frans Timmermans and European Economic and Social Committee president Christa Schweng have told delegates at the European Circular Economy Stakeholder Conference. Timmermans argues that a green transition would free the EU from imports of energy and other resources, while Schweng stresses the need to boost the EU’s strategic autonomy.</t>
  </si>
  <si>
    <t>https://ec.europa.eu/commission/presscorner/detail/en/SPEECH_22_1482</t>
  </si>
  <si>
    <t>https://www.eesc.europa.eu/en/news-media/news/circular-economy-key-contributor-eus-strategic-autonomy</t>
  </si>
  <si>
    <t>European Commission set to unveil draft circularity legislation</t>
  </si>
  <si>
    <t>A package of legislative proposals covering the circular economy within the EU will be presented by the European Commission on March 30. The package is expected to include a Sustainable Products Strategy Initiative for regulating products on the EU market, along with a strategy for textile products and new regulations for construction products. A revision of the EU Packaging and Packaging Waste Directive is set be published later in the year, and plans are underway for a product passport that would provide information about a product's origin, components, repair and recycling.</t>
  </si>
  <si>
    <t>https://www.euractiv.com/section/circular-economy/news/eu-lawmakers-to-accelerate-adoption-of-circular-economy-package/</t>
  </si>
  <si>
    <t>United Nations members agree to prepare treaty on plastic waste</t>
  </si>
  <si>
    <t>Nearly 200 countries have agreed to draw up a United Nations treaty on pollution and lifecycle management of plastics from production to disposal. The UN Environment Programme has charged an intergovernmental negotiating committee with delivering an agreed text by the end of 2024. UNEP executive director Inger Andersen says a circular economy could reduce the volume of plastic entering the oceans by more than 80% by 2040 and the production of virgin plastic by 55%, while saving governments $70bn, cutting greenhouse gas emissions by 25% and creating 700,000 jobs.</t>
  </si>
  <si>
    <t>https://www.unep.org/news-and-stories/story/what-you-need-know-about-plastic-pollution-resolution</t>
  </si>
  <si>
    <t>https://www.reuters.com/business/environment/biggest-green-deal-since-paris-un-approve-plastic-treaty-roadmap-2022-03-02/</t>
  </si>
  <si>
    <t>Non-profit launches webinars on circularity in the lighting industry</t>
  </si>
  <si>
    <t>Recolight, a UK non-profit that collects and recycles equipment for the lighting industry, is offering a series of five webinars to help the sector's transition to a circular economy. Running from March 24 to September 20, the webinars cover areas such as reducing the carbon footprint of the manufacturing process, analysing sustainable lighting products on the market, and refurbishing and reselling used equipment after its removal from a building. Recolight will also host a series of in-person circular economy workshops in London, Leeds and Birmingham between April and June.</t>
  </si>
  <si>
    <t>https://www.voltimum.co.uk/articles/recolight-announce-circular-economy</t>
  </si>
  <si>
    <t>https://www.recolight.co.uk/webinars/</t>
  </si>
  <si>
    <t>Rwanda to host World Circular Economy Forum as principles gain traction in Africa</t>
  </si>
  <si>
    <t>Working with the private sector to regulate the disposal of waste must be a key element of a just transition to the circular economy in Africa, according to experts at a meeting featuring African Development Bank officials, government representatives and business leaders on the sidelines of a UN Environment Assembly session in Nairobi. The huge potential for circularity across the continent is reflected in the decision to stage the World Circular Economy Forum for the first time in Africa, with Rwanda hosting the 2022 edition in October.</t>
  </si>
  <si>
    <t>https://african.business/2022/03/apo-newsfeed/un-environment-assembly-circular-economy-gains-traction-as-morocco-plans-to-join-regional-alliance/</t>
  </si>
  <si>
    <t>https://www.sitra.fi/en/news/rwanda-to-host-the-world-circular-economy-forum-2022/</t>
  </si>
  <si>
    <t>Singapore tech refurbishing start-up Reebelo raises $20m</t>
  </si>
  <si>
    <t>Reebelo, a company based in Singapore but with offices throughout Asian and Australia, has raised $20m to develop its network for refurbishing and reselling laptops, tablets and smartphones. Co-founder Philip Franta says younger generations in the Asia-Pacific region realise that the past patterns of consumption are no longer sustainable. Founded in 2019 and provided with $1m in seed funding the following year, Reebelo says it now has 10,000 monthly customers and is nearing $100m in annual gross merchandise value. A similar approach is being taken in Europe by refurbed, an Austrian-based tech marketplace that now operates across Europe, offering a one-year warranty and a 40% reduction on the device’s original cost. Since its launch in Ireland a year ago, refurbed says it has provided devices to 1% of the country's households.</t>
  </si>
  <si>
    <t>https://techcrunch.com/2022/02/14/singapore-based-reebelo-raises-20m-to-save-pre-owned-devices-from-landfills/?guccounter=1&amp;guce_referrer=aHR0cHM6Ly93d3cuZ29vZ2xlLmNvbS8&amp;guce_referrer_sig=AQAAAM9jRHxnE4Yjgmw8Tt7KuIQ2L3xHrhcmmrsfjkUxMFe6RR1zZ89JaytOqA06wTaJabO25uFReNDjIq5T4M9uTMxqIUrAKES7p5BMsZ4NWozGyRSOcySGeBI_AaU7rzOQ_GnLQSnJ4Xqm347r8gpGr3j9GB6B_fHOAmozauCl4LFZ</t>
  </si>
  <si>
    <t>https://www.reebelo.com</t>
  </si>
  <si>
    <t>https://www.refurbed.at/?_ga=2.171478565.460826347.1647349110-564550816.1647349110</t>
  </si>
  <si>
    <t>EU provides €9.6m in European Green Deal funding for plastics circularity programme</t>
  </si>
  <si>
    <t>The EU’s Horizon-funded European Green Deal programme has awarded €9.6m to the three-year Syschemiq research and demonstrator project to be launched later this year to develop solutions for plastics recycling and reuse. Led by the Brightlands Chemelot Campus in the Dutch municipality of Sittard-Geleen, the project consortium is focusing both on the collection, sorting and recycling of used plastics as a raw material, and designing plastics that would be easier to recycle. A total of 20 partners from the Netherlands, Belgium and Germany are taking part in the project.</t>
  </si>
  <si>
    <t>https://www.brightlands.com/en/brightlands-chemelot-campus/news/96-million-euros-boost-transition-circular-economy</t>
  </si>
  <si>
    <t>https://www.maastrichtuniversity.nl/news/96-million-euros-boost-transition-circular-economy</t>
  </si>
  <si>
    <t>Luxembourg start-up secures $21m funding round to develop sustainable construction system</t>
  </si>
  <si>
    <t>Leko Labs, a Luxembourg start-up that has developed a wall and floor system based on wood products, has closed a $21m Series A funding round. The firm’s technology can replace up to 75% of the concrete and steel used in a building up to 100 metres tall, significantly shrinking the carbon footprint of the construction process, and can reduce heating and cooling requirements by up to 87% once the building is in use. The funding will help to scale up the software platform used at the design stage and the firm's robotics-led production process, enabling its Luxembourg facility to provide finished walls to customers in new European markets including Germany, the Nordic countries and the UK.</t>
  </si>
  <si>
    <t>https://lekolabs.com/news#usd21-million-series-a-and-new-ceo-for-leko-labs</t>
  </si>
  <si>
    <t>‘Poured earth’ proposed as alternative to concrete in construction</t>
  </si>
  <si>
    <t>Alia Bengana, a Paris-based architect and lecturer in sustainable construction, is calling for the wider use of so-called ‘poured earth’ to replace standard concrete in construction applications. Poured earth uses soil instead of separately added sand and gravel as the aggregate, with added clay acting as the binder. A low-carbon process, poured earth also offers a means of recycling soil removed from construction sites - which is currently treated as a waste product and often requires costly disposal.</t>
  </si>
  <si>
    <t>https://www.espazium.ch/fr/actualites/et-si-coulait-de-la-terre-comme-du-beton</t>
  </si>
  <si>
    <t>https://www.bi0n.eu/news/poured-earth-an-alternative-to-cement-concrete-</t>
  </si>
  <si>
    <t>EU-funded programme explores circularity potential of organic waste</t>
  </si>
  <si>
    <t>Biocircularities, a two-year initiative funded by the EU's Horizon research programme, is exploring the potential role of organic waste in a circular bioeconomy. Pilot studies are being launched in two large conurbations, Barcelona and Naples, and the rural region of Pazardzhik in Bulgaria to find ways to bring greater circularity to the treatment of food, garden, agricultural, forestry and wood processing waste by identifying best practice and situations in which waste is underexploited. The ultimate goal is for the results to feed initially into regulations and policy instruments at local level, then into EU recommendations for biocircular cities. As one of the programme’s partners, the Luxembourg Institute of Science and Technology is examining the transferability and replicability of the biocircular approach to other locations.</t>
  </si>
  <si>
    <t>https://biocircularcities.eu/</t>
  </si>
  <si>
    <t>German rental phone service provider raises $200m for international expansion</t>
  </si>
  <si>
    <t>Berlin-based phone-as-a-service provider everphone says it has raised $200m in a funding round led by Cadence Growth Capital, with Deutsche Telekom among the investors. The money will go toward product and business development, including moves into other European countries and the US market. Designed for corporate users, everphone offers new and refurbished phones for rental, and collects them at the end of the contract for refurbishing or recycling. A similar solution already exists in Luxembourg, where Orange is expanding its ‘Re’ programme, under which customers can trade in unwanted mobile phones, buy refurbished devices with two-year warranties, hand over broken models for recycling and have their existing phones repaired.</t>
  </si>
  <si>
    <t>https://siliconcanals.com/news/startups/germanys-everphone-secures-177m/</t>
  </si>
  <si>
    <t>https://www.everphone.com/en/device-lifecycle-management</t>
  </si>
  <si>
    <t>https://www.orange.lu/en/news/launch-re-program/</t>
  </si>
  <si>
    <t>Luxembourg start-up seeks crowdfund backing to combat food waste</t>
  </si>
  <si>
    <t>A Luxembourg start-up, On.perfekt, is seeking crowdfunding to support its efforts to reduce food waste in the grand duchy by making mis-shapen produce available in a pop-up store. The co-operative, which aims to support local, small-scale fruit and vegetable farms, preferably organic, won the &lt;em&gt;Äre Projet (m)am Naturpark&lt;/em&gt; competition organised by Luxembourg’s three nature parks last year for its monthly pop-up stores of imperfect produce. Its baby food product is one of 12 projects selected by Luxembourg's &lt;a href="https://www.luxinnovation.lu/news/circular-by-design-challenge-12-projects-selected/"&gt;Circular By Design Challenge&lt;/a&gt;.</t>
  </si>
  <si>
    <t>https://www.onperfekt.lu/</t>
  </si>
  <si>
    <t>https://chronicle.lu/category/environment/39160-anti-food-waste-cooperative-launches-crowdfunding-campaign-to-open-1st-store</t>
  </si>
  <si>
    <t>DHL underlines key role of supply chains in circularity</t>
  </si>
  <si>
    <t>The logistics sector can play a role in making consumer goods supply chains fit for purpose in a circular economy, according to a white paper by DHL. The company argues that post-sale actions such as resale, repair, refurbishment and recycling all depend on the logistics loops, particularly in sectors such as fashion and consumer electronic goods, and that a combination of new, multidirectional flows and digital technology are the way forward.</t>
  </si>
  <si>
    <t>https://www.dhl.com/content/dam/dhl/global/core/documents/pdf/DHL_Delivering_on_Circularity_White_Paper_2022.pdf</t>
  </si>
  <si>
    <t>Deposit programme launched in Denmark for takeaway food packaging</t>
  </si>
  <si>
    <t>Danish tech firm New Loop is partnering with Jokey Group, a global food packaging manufacturer, to collect and reuse polypropylene cups, trays and bowls from takeaway food outlets. The customer pays a deposit, scans the packaging with an app and is reimbursed on return of the material. Items are collected from food providers, washed and reused before ultimately being reprocessed into new packaging. Trialled in Copenhagen, the system will be soon launched throughout Denmark and other Scandinavian countries.</t>
  </si>
  <si>
    <t>https://www.jokey.com/en/news-und-presse/presse/details/the-closed-loop-partnership-danish-impact-start-up-new-loop-cooperates-with-jokey/</t>
  </si>
  <si>
    <t>Circularity briefing offers guidance for Europe’s regional authorities</t>
  </si>
  <si>
    <t>ESPON, a policy think-tank on co-operation between regional authorities in Europe, has published a briefing guide for organisations looking to support the transition to a circular economy. Produced by ESPON’s Circter project for the circular economy, the guide illustrates how existing regulations and instruments in areas such as public procurement and spatial planning can be used to speed moves to circularity. Luxembourg provides one of three new case studies in the briefing, along with the Scandinavian region, and Switzerland and Liechtenstein.</t>
  </si>
  <si>
    <t>https://www.espon.eu/topics-policy/publications/policy-brief-territorial-approach-transitioning-towards-circular-economy</t>
  </si>
  <si>
    <t>Policy barriers holding back circularity in electronics and electrical equipment</t>
  </si>
  <si>
    <t>An academic study into barriers and enablers for the electrical and electronic equipment sector's transition to circular business models points the finger at policy shortcomings. A lack of rules for transparency across supply chains, weak enforcement of EU waste legislation rules, limited use of circularity criteria in public tenders and a lack of CE standards are all holding back a sector with extensive untapped potential for circularity. Drawing on 31 case studies from the EU’s CIRC4Life programme, the researchers recommend the development of knowledge-sharing platforms and business partnerships, R&amp;D project grants, product CE labels, financial incentives and awareness-raising campaigns.</t>
  </si>
  <si>
    <t>https://www.sciencedirect.com/science/article/pii/S095965262200258X?via%3Dihub#</t>
  </si>
  <si>
    <t>Luxembourg welcomes circular initiative in EU’s defence sector</t>
  </si>
  <si>
    <t>The creation of the Incubation Forum on Circular Economy in European Defence has been supported by Luxembourg, with defence minister François Bausch highlighting the importance of reuse and recycling of military material. The forum will seek to improve the design of military equipment to enable component parts and materials to be reused, and working groups are being formed to examine the scientific, technical, regulatory and strategic implications of reuse.</t>
  </si>
  <si>
    <t>https://maee.gouvernement.lu/fr/actualites.gouvernement%2Bfr%2Bactualites%2Btoutes_actualites%2Bcommuniques%2B2022%2B01-janvier%2B27-economie-circulaire-defense-europeenne.html</t>
  </si>
  <si>
    <t>https://eda.europa.eu/news-and-events/news/2022/01/27/eda-s-new-forum-for-circular-economy</t>
  </si>
  <si>
    <t>Asset managers launch funds focusing on circular economy project financing</t>
  </si>
  <si>
    <t>Dutch impact investor Polestar Capital and Irish fund management company Mediolanum International Funds have announced the launch of funds dedicated to project financing for the circular economy. Polestar has launched a €100m circularity fund that will offer loans to around 30 Dutch businesses active in areas such as carbon emissions and waste reduction that are currently struggling to secure financing. Polestar hopes that subsequent investment rounds will take the available lending to €400m by the end of the year. The Mediolanum fund is to focus on eight of the UN Sustainable Development Goals and will be classified under article 9 of the EU’s Sustainable Finance Disclosure Regulation.</t>
  </si>
  <si>
    <t>https://www.pioneerspost.com/news-views/20220209/major-dutch-pension-provider-backs-ambitious-100m-circular-economy-fund</t>
  </si>
  <si>
    <t>https://citywireselector.com/news/mediolanum-picks-pictet-and-kbi-to-run-new-circular-economy-fund/a2379091</t>
  </si>
  <si>
    <t>Eastman to invest up to €1bn in plastics recycling plant in France</t>
  </si>
  <si>
    <t>Eastman is planning to construct a facility in France that will use its polyester renewal technology to recycle up to 160,000 tonnes annually of hard-to-recycle plastic waste that is currently being incinerated. The company also plans to open an innovation centre for molecular recycling in the country, with the facilities expected to be operational by 2025 with a total of 350 staff. The plant's exact location has yet to be finalised.</t>
  </si>
  <si>
    <t>https://www.eastman.com/Company/News_Center/2022/Pages/Eastman-to-invest-to-accelerate-circular-economy.aspx</t>
  </si>
  <si>
    <t>Expert panel addresses financial accounting challenges raised by circular transition</t>
  </si>
  <si>
    <t>Coalition Circular Accounting, a panel of accounting, finance and legal experts, has produced a study of the current solutions available to tackle accounting challenges raised by the circularity transition. Drawing on earlier real-life case studies, it calls for a fresh approach to three key aspects of accounting: value, impact and risk, in order to support circular business models.</t>
  </si>
  <si>
    <t>https://www.circle-economy.com/resources/financial-accounting-in-the-circular-economy-redefining-value-impact-and-risk-to-accelerate-the-circular-transition</t>
  </si>
  <si>
    <t>Applications sought for Construction21 France circular building awards</t>
  </si>
  <si>
    <t>Construction21 France, a media platform specialising in circular construction, is organising a second edition of its Trophées Bâtiment Circulaires awards for projects involving reuse of building materials. The competition is open to buildings completed by May 31 in France or its overseas territories, Canada, Switzerland, Belgium or Luxembourg. All types of projects will be considered, whether public or private, new-build or renovation, irrespective of the sector of activity. The closing date for applications is May 13.</t>
  </si>
  <si>
    <t>https://www.construction21.org/france/articles/h/lancement-de-la-2e-edition-des-trophees-batiments-circulaires.html</t>
  </si>
  <si>
    <t>Europe gears up for 2022 Circular Economy Stakeholder Conference</t>
  </si>
  <si>
    <t>‘Towards a new normal: sustainable products for sustainable consumption’ will be the theme of this year’s Circular Economy Stakeholder Conference to be held online on March 1 and 2. Now in its fifth edition, the event is the main gathering of the European circular economy community, bringing together business leaders, local authorities, subject experts and civil society groups. The first day will examine policy developments, while the second will be devoted to workshops on topics including circular cities, retailers and consumers, procurement, food waste and the bio-economy, textiles, network governance, construction and infrastructure, and economic incentives.</t>
  </si>
  <si>
    <t>https://circulareconomy.europa.eu/platform/en/news-and-events/all-news/save-date-2022-circular-economy-stakeholder-conference</t>
  </si>
  <si>
    <t>German start-up creates plant-based faux leather</t>
  </si>
  <si>
    <t>An alternative to leather that avoids the trap of using plastics has been developed by German start-up Lovr, working with the University of Darmstadt. The material, which is fully biodegradable, is produced from hemp collected from farms and has applications in the fashion, furniture and automobile sectors. Lovr promotes the product as an alternative to other faux-leather materials, some of which are manufactured from plastics, such as polyvinyl chloride and polyurethane.</t>
  </si>
  <si>
    <t>https://www.springwise.com/innovation/fashion-beauty/plastic-free-biodegradable-alternative-to-leather</t>
  </si>
  <si>
    <t>https://viable.earth/sustainable-fashion/german-startup-develops-plastic-free-alt-leather-from-hemp-waste/</t>
  </si>
  <si>
    <t>Smartphone app creates digital wardrobe for circular fashion</t>
  </si>
  <si>
    <t>Circular fashion company Yellow Octopus has created the app-based Loop Digital Wardrobe, which enables consumers to assemble a digital collection of their purchases from participating retailers on their smartphone. They can also use the Loop platform to trade, swap or return items featured in their digital wardrobe for recycling.</t>
  </si>
  <si>
    <t>https://fashionunited.uk/news/business/new-digital-platform-aims-to-bring-circular-fashion-to-shopping-experiences/2022020461125</t>
  </si>
  <si>
    <t>https://loopdigitalwardrobe.com</t>
  </si>
  <si>
    <t>Blockchain researchers receive funding to examine technology’s application to circular economy</t>
  </si>
  <si>
    <t>Imperial College London has been awarded a £1m grant by blockchain non-profit organisation Iota Foundation to research ways in which distributed ledger technology could help to promote the circular economy. Created within Imperial’s Dyson School of Design Engineering, the aim of the Imperial-Iota-Infrastructures Lab is to find innovative service-based solutions to cut carbon emissions and reduce waste drastically.</t>
  </si>
  <si>
    <t>https://www.cityam.com/iota-foundation-donates-1m-to-imperial-college-for-circular-economy-research/</t>
  </si>
  <si>
    <t>https://www.imperial.ac.uk/iota-infrastructures-lab/about-us/</t>
  </si>
  <si>
    <t>Danish study underlines role of digital technology in circularity</t>
  </si>
  <si>
    <t>The Danish Business Authority has published a study about the key role of data sharing in the transition to a circular economy. Based on research, company interviews and input from members of the Ellen MacArthur Foundation network,&lt;em&gt; Looping on Data&lt;/em&gt; identifies the kind of data that needs to be shared, barriers to achieving this, and the tools currently used by businesses for sharing data. The study argues that digital technology is vital in documenting how a product or material has been designed, produced and transported, to facilitate its subsequent refurbishment, reuse or recycling. Luxembourg has already led the way with development of Product Circularity Data Sheets for manufacturers.</t>
  </si>
  <si>
    <t>https://erhvervsstyrelsen.dk/sites/default/files/2022-01/Looping%20on%20data_0.pdf</t>
  </si>
  <si>
    <t>Economy minister Fayot calls for free-flowing EU internal market for reuse and recycling</t>
  </si>
  <si>
    <t>Luxembourg's economy minister Franz Fayot has highlighted the government's circular economy strategy during an informal meeting of EU economy ministers in France. During a workshop session, he focused on Luxembourg's development of Product Circularity Data Sheets for sharing trusted data about the circularity of manufacturers' products. Fayot has also called for the development of a free-flowing EU internal market for reuse and recycling, which he says could be achieved through greater harmonisation of legislation.</t>
  </si>
  <si>
    <t>https://meco.gouvernement.lu/fr/actualites.gouvernement%2Bfr%2Bactualites%2Btoutes_actualites%2Bcommuniques%2B2022%2B02-fevrier%2B01-fayot-lens.html</t>
  </si>
  <si>
    <t>Glasgow turns to circularity in bid to reach net zero</t>
  </si>
  <si>
    <t>Glasgow is looking to link its circularity ambitions with its net zero carbon targets in helping local businesses to achieve both aims. A report by Circle Economy and the Glasgow Chamber of Commerce examines how this can be achieved, looking at business opportunities in five sectors - food and drink, textiles, manufacturing, events and conferences, and the built environment – along with possible climate mitigation actions.</t>
  </si>
  <si>
    <t>https://www.circularglasgow.com/circular-economy-net-zero-report-glasgow/</t>
  </si>
  <si>
    <t>US specialist completes pilot project producing compost from hotel food waste</t>
  </si>
  <si>
    <t>US food waste specialist BioGreen360 has completed a six-month project with the Ritz-Carlton Pentagon City Hotel in Virginia and the New Milford Farms composting facility to create compost from hotel food waste. The hotel was equipped with BioGreen360’s dry digester to process all 10 tons of its kitchen waste, which was turned into composting material at the facility in New Milford, Connecticut. Circularity was also part of the business case, with BioGreen360 operating an as-a-service model for use of its equipment.</t>
  </si>
  <si>
    <t>https://waste-management-world.com/artikel/the-ritz-carlton-collaborates-with-biogreen360-and-garick-to-develop-circular-solution-for-food-waste/#</t>
  </si>
  <si>
    <t>Luxembourg embraces Building Information Technology and circular construction</t>
  </si>
  <si>
    <t>Developers in Luxembourg are turning to new solutions to ease the pressure on housing, with OIKOS-concept preparing a pilot project combining Building Information Technology at the design stage with off-site construction/on-site assembly of modular buildings. BIM enables developers to optimise their use of materials and to share information with all stakeholders in a project. Prefabrication in a factory means that construction can be carried out in safer, more comfortable conditions, reducing the on-site activity – and therefore some of the cost. Other domestic firms active in these fields include ALHO Systembau, Compagnie de Construction Luxembourgeoise and IKO Real Estate.</t>
  </si>
  <si>
    <t>https://www.infogreen.lu/construire-differemment-et-durablement.html</t>
  </si>
  <si>
    <t>http://neobuild.lu/ressources/neomag</t>
  </si>
  <si>
    <t>Slimmed-down packaging for Chanel’s new product range</t>
  </si>
  <si>
    <t>Chanel is launching a sustainably designed skincare and cosmetics product range in the UK, No. 1 de Chanel. The packaging has no plastic outer layer or paper leaflets inside, while the bottles and jars used throughout the range are made of glass. For a revitalising cream, a bio-based material is used for both the lid and an inner pot that is refillable, with refills costing £13 less than the original product.</t>
  </si>
  <si>
    <t>https://www.edie.net/news/5/Chanel-launches-first-refillable-beauty-products-as-part-of-new-low-packaging-range/</t>
  </si>
  <si>
    <t>Goodyear unveils tyre made 70% from waste material</t>
  </si>
  <si>
    <t>Rice husks, soybean oil and used plastic bottles are among the waste products that make up 70% of a tyre launched by Goodyear as part of a strategy to reduce the company’s carbon footprint. The rice husks provide silica in a process developed by Goodyear’s R&amp;D facility in Luxembourg, which won the FEDIL Environmental Prize at the industry organisation's 2015 awards. Plastic bottles are recycled into fibres for the tyres, which also include carbon black collected from industrial processes. The development represents progress toward a 2020 commitment by Goodyear to use wholly sustainable material by 2030.</t>
  </si>
  <si>
    <t>https://www.greenbiz.com/article/rubber-rice-goodyear-debuts-tire-made-70-percent-sustainable-material</t>
  </si>
  <si>
    <t>Take-back programmes for shoes and clothes gain traction</t>
  </si>
  <si>
    <t>US boot and clothing company Timberland is launching a take-back programme, Timberloop, enabling consumers to return used products that can be refurbished and re-sold or disassembled and upcycled. The initiative is one of many being introduced by fashion brands, with Patagonia launching a WornWear programme for taking back second-hand clothing from its catalogue. Customers receive a credit note for use in its stores, Patagonia's main e-commerce site or its dedicated second-hand platform, wornwear.patagonia.com.</t>
  </si>
  <si>
    <t>https://www.fastcompany.com/90711379/your-old-timberland-boots-can-now-be-your-new-timberland-boots</t>
  </si>
  <si>
    <t>https://www.circularx.eu/en/cases/34/patagonia-worn-wear-program</t>
  </si>
  <si>
    <t>Circularity brings opportunities and challenges for fashion industry workers: report</t>
  </si>
  <si>
    <t>With the garment and textile sector employing up to 70 million people around the world, the impact of circularity will be felt at a social as well as an environmental one, says &lt;em&gt;Keeping Workers in the Loop&lt;/em&gt;, a report by sustainable business association BSR. The authors warn that circularity could perpetuate the low wages and harassment already faced by marginalised workers, who are overrepresented in the industry. However, the report says, there will be opportunities for entrepreneurship and up-skilling, provided the right training is available.</t>
  </si>
  <si>
    <t>https://www.bsr.org/en/our-insights/blog-view/the-rise-of-circular-fashion-brings-opportunity-to-design-a-fashion-system</t>
  </si>
  <si>
    <t>https://www.bsr.org/reports/BSR-Keeping-Workers-in-the-Loop.pdf</t>
  </si>
  <si>
    <t>European Investment Bank backs plastics re-use company with €30m loan</t>
  </si>
  <si>
    <t>The European Investment Bank is providing a €30m loan for French chemical company Carbios, whose enzymatic recycling technology can turn any type of PET plastic waste into its basic components - which can be re-used to produce new PET plastics of a quality equivalent to virgin ones. Following the opening of the company’s demonstration plant last September, the funding will help with scale-up and licensing of the technology.</t>
  </si>
  <si>
    <t>https://www.eib.org/en/press/all/2021-476-the-eib-with-the-support-of-the-european-commission-is-financing-a-eur30m-loan-for-carbios-enzymatic-recycling-technology-to-support-the-circular-economy</t>
  </si>
  <si>
    <t>France’s anti-waste legislation comes into force</t>
  </si>
  <si>
    <t>All 130 articles of France’s Anti-Waste for a Circular Economy legislation came into force on January 1, incorporating a wide range of measures to limit waste and protect natural resources, biodiversity and the climate. Approved by parliament in 2020, the law sets five targets: to shift away from disposable plastic; better inform consumers about recycling and product contents; combat waste and support re-use; curb built-in obsolescence and promote the right to repair; and produce goods in a better way through extended producer responsibility.</t>
  </si>
  <si>
    <t>https://www.ecologie.gouv.fr/loi-anti-gaspillage-economie-circulaire-0</t>
  </si>
  <si>
    <t>Irish government publishes strategy to undertake circularity transition</t>
  </si>
  <si>
    <t>Ireland's government has published the country’s first circular economy strategy for the whole of its range of activities, following a public consultation held in 2021. The strategy sets out Ireland’s transition to circularity, describes existing initiatives and future opportunities, and outlines how the government will drive the changes required. Later iterations of the strategy will add details of measures for priority areas including construction, consumer goods, transport, procurement, agriculture and food.</t>
  </si>
  <si>
    <t>https://www.gov.ie/en/press-release/16a69-government-launches-irelands-first-whole-of-government-circular-economy-strategy/#</t>
  </si>
  <si>
    <t>Belgian government unveils circular economy action plan</t>
  </si>
  <si>
    <t>The Belgian government has unveiled an action plan for the circular economy, incorporating 25 measures to be rolled by the end of 2024. The blueprint aims to achieve six objectives: stimulating the market for circular products and services, encouraging circularity in production methods, supporting consumers and public procurement, providing the incentives and tools, helping employees in the green transition, and monitoring the country's progress. The measures will be implemented at a national level and locally by institutions in the Brussels, Walloon and Flemish regions.</t>
  </si>
  <si>
    <t>https://www.feb.be/globalassets/actiedomeinen/ethiek--maatschappelijke-verantwoordelijkheid/duurzame-ontwikkeling/federaal-actieplan-lijst-concrete-maatregelen-op-voor-de-circulaire-transitie/paf-16-dec-2021_fr-clean.pdf</t>
  </si>
  <si>
    <t>Baby food vegetables and reclaimed linen textiles among Luxembourg’s circularity challenge projects</t>
  </si>
  <si>
    <t>Non-standard vegetables for baby food, blockchain technology to help farmers in Ghana, and textiles made from reclaimed linen are among 12 projects selected for the Circularity by Design Challenge launched by the Luxembourg Creative Industries Cluster, managed by Luxinnovation. Supported by the Economy Ministry, the initiative offers a 12-week coaching programme for the 12 chosen projects in five categories. The winner of each category will receive €7,000, a place on a four-week accelerator programme and six months of free access to a co-working space.</t>
  </si>
  <si>
    <t>https://www.luxinnovation.lu/news/circular-by-design-challenge-12-projects-selected/</t>
  </si>
  <si>
    <t>Brewing waste turned into dietary fibre and protein for food ingredients</t>
  </si>
  <si>
    <t>US company ReGrained has developed a process to turn spent brewing grains into food ingredients that provide dietary fibre and protein. The thermo-mechanical process, which was developed with the US Department of Agriculture, creates a dry product that can be used in bread dough, pastries, snacks and beverages. The company says its SuperGrain+ offering contains three-and-a-half times the amount of dietary fibre and twice the amount of protein as wholegrain and white flours.</t>
  </si>
  <si>
    <t>https://www.foodnavigator.com/Article/2022/01/05/ReGrained-innovating-in-upcycled-food-for-grains-that-deliver-nutritional-benefits</t>
  </si>
  <si>
    <t>New online repository of projects supporting circular economy in Luxembourg</t>
  </si>
  <si>
    <t>The Luxembourg government's circular economy portal has added a repository of information about actions and projects organised, managed or (co-)funded by public agencies in various sectors to support the implementation of the circular economy in Luxembourg. Users can search for projects and activities by project owner, target sector or project status.</t>
  </si>
  <si>
    <t>https://economie-circulaire.public.lu/en/inpractice/projects.html</t>
  </si>
  <si>
    <t>Prototype circular housing development takes shape in Australia</t>
  </si>
  <si>
    <t>A prototype circular village being designed by architects near Sydney features 3D-printing construction methods, a waste-to-resources hub, a diverse regenerative agricultural system, sustainable water management system and renewable energy. Architectural practice Valentino Gareri Atelier is working on eight residential hamlets equipped with co-working and entertainment spaces as part of the pilot project for the circular village concept.</t>
  </si>
  <si>
    <t>https://www.archdaily.com/973828/valentino-gareri-atelier-designs-prototype-for-circular-economy-village-in-australia</t>
  </si>
  <si>
    <t>Luxembourg initiatives to offer circularity training for municipal staff and elected officials</t>
  </si>
  <si>
    <t>Two information and training programmes on the circular economy will take place in Luxembourg this year targeting municipal staff and elected officials. Luxembourg's Centre National de Formation Professionnelle Continue (CNFPC) will provide an introduction to the circular economy and illustrate national initiatives, while the Circular Innovation Hub in Wiltz will approach circular economy subjects in a participative way, including visits to projects implemented by the commune.</t>
  </si>
  <si>
    <t>https://economie-circulaire.public.lu/en/news/news-22-01-20.html</t>
  </si>
  <si>
    <t>https://www.wiltz.lu/fr/agenda?category=8</t>
  </si>
  <si>
    <t>UK resale platform start-up secures €35m from investors</t>
  </si>
  <si>
    <t>Twig, a UK-based circular economy firm founded in July 2020, has raised $35m in a Series A funding round to develop its platform for selling and buying fashion clothing and consumer electronics, including rolling out the trading of items using non-fungible tokens and crypto-currencies. The new investment will also support the start-up’s planned move into the US and EU markets.</t>
  </si>
  <si>
    <t>https://www.fintechfutures.com/2022/01/fintech-start-up-twig-raises-35m-to-support-web-3-0-plans/</t>
  </si>
  <si>
    <t>New US venture fund attracts $50m for circular projects</t>
  </si>
  <si>
    <t>US venture capital firm Closed Loop Ventures Group has raised more than $50m for a new fund to support circular economy projects in the areas of plastics and packaging, fashion, food and agriculture, and supply chain technology. The fund's investors include Microsoft, the Autodesk Foundation, and single and multi-family offices from the US, Asia and Israel.</t>
  </si>
  <si>
    <t>https://www.closedlooppartners.com/closed-loop-partners-ventures-group-raises-50-million-fund-ii-to-help-scale-breakthrough-circular-economy-solutions/</t>
  </si>
  <si>
    <t>Tech partnership aims for zero emissions at waste-to-energy plants</t>
  </si>
  <si>
    <t>Hitachi Zosen Inova, a Swiss-Japanese clean technology company, is partnering with US-based CarbonFree Chemicals Holding to reduce net emissions from waste-to-energy facilities to zero by separating and mineralising carbon dioxide from flue gases. CarbonFree is already applying the technology in other sectors, notably cement manufacturing, where flue gases are turned into carbon-negative baking soda – a more circular solution than waste incineration. The company also produces precipitated calcium carbonate and hydrochloric acid from captured carbon emissions.</t>
  </si>
  <si>
    <t>https://waste-management-world.com/a/hzi-and-carbonfree-develop-technology-for-energy-from-waste</t>
  </si>
  <si>
    <t>US digital platform tackles waste inventories</t>
  </si>
  <si>
    <t>Rheaply, a Chicago-based circular economy start-up, has received a national re-use award for developing a platform to help large organisations manage their inventory more effectively and avoid waste. The platform aims to tackle the problem of unnecessary procurement, which arises when different parts of the same organisation – or neighbouring businesses - are unaware of what each other has in storage. The system enables these assets to be bought, sold, rented or shared. A member of the Ellen MacArthur Foundation network, Rheaply raised $8m in a Series A funding round in February.</t>
  </si>
  <si>
    <t>https://www.wastedive.com/news/rheaply-garr-punnett-circular-economy-reuse-startup/609746/</t>
  </si>
  <si>
    <t>https://www.closedlooppartners.com/winners-of-the-reusies-announced-by-upstream-and-closed-loop-partners/</t>
  </si>
  <si>
    <t>Free tree saplings project launched in Netherlands</t>
  </si>
  <si>
    <t>Dutch volunteers are rescuing unwanted tree saplings and giving them to farmers, local authorities and landowners to build circularity in forest management. The saplings, along with cuttings, are being collected from woodland paths, areas of forest shade and people’s gardens as part of a campaign by Meer Bomen Nu (More Trees Now) to give away one million trees during the winter months from November to March. During the same period a year earlier, the group's volunteers planted a total of 250,000 seedlings and shoots, 80% of which have survived.</t>
  </si>
  <si>
    <t>https://www.theguardian.com/environment/2021/nov/26/every-tree-counts-amsterdam-forest-leads-way-with-sapling-donation-plan</t>
  </si>
  <si>
    <t>https://meerbomen.nu/over-ons/in-english/</t>
  </si>
  <si>
    <t>Atos embraces remanufactured laptops for internal use and customers</t>
  </si>
  <si>
    <t>Circular Computing, a UK company that remanufactures laptops to as-new standards certified by the British Standards Institute, is to supply equipment to customers of global IT services group Atos. The French-based company has already been using the firm’s remanufactured machines internally under its own net-zero programme. Circular Computing, which offers Lenovo, Dell and HP laptops, says remanufacturing avoids 316 kilos of carbon emissions and 190,000 litres of water - consumed during extraction, refining and production – for each remanufactured product compared with new equipment.</t>
  </si>
  <si>
    <t>https://circularcomputing.com/news/circular-computing-partners-atos/</t>
  </si>
  <si>
    <t>Orange to use refurbished equipment in mobile networks</t>
  </si>
  <si>
    <t>France-headquartered telecoms group Orange has signed an agreement with equipment supplier Nokia to use refurbished radio access network kit in its mobile networks. Orange has already been using refurbished set-top boxes, home gateways and handsets under its Oscar circular economy initiative, but has now extended re-use to its Open Radio Access Networks infrastructure, notably base stations, following a successful 18-month trial period. Orange says it will also encourage other carrier groups to follow its lead on using refurbished hardware.</t>
  </si>
  <si>
    <t>https://www.verdict.co.uk/orange-nokia-ran-circular-economy/</t>
  </si>
  <si>
    <t>Circularity forum turns spotlight on built environment</t>
  </si>
  <si>
    <t>Circularity can reduce the impact of the global construction industry, which consumes roughly half of virgin resources and accounts for nearly 40% of carbon emissions and solid waste streams, according to a study by the World Business Council for Sustainable Development. The report, &lt;em&gt;The business case for circular buildings: exploring the economic, environmental and social value&lt;/em&gt;, was presented at the World Circular Economy Forum, a virtual event hosted by the Canadian government, at which participants discussed the policy, investment, and market levers required for a transition to a circular economy in the built environment. The discussions came as the UK Green Building Council announced a new roadmap to address the construction industry’s carbon emissions and called for greater reuse of existing buildings rather than constructing new ones.</t>
  </si>
  <si>
    <t>https://www.wcef2021.com/session/making-the-business-case-for-advancing-a-low-carbon-circular-built-environment/</t>
  </si>
  <si>
    <t>https://www.wbcsd.org/Programs/Cities-and-Mobility/Sustainable-Cities/Transforming-the-Built-Environment/Resources/The-business-case-for-circular-buildings-Exploring-the-economic-environmental-and-social-value</t>
  </si>
  <si>
    <t>https://www.ukgbc.org/ukgbc-work/net-zero-whole-life-roadmap-for-the-built-environment/</t>
  </si>
  <si>
    <t>https://energyindemand.com/2021/11/19/to-meet-long-term-carbon-emissions-targets-we-must-stop-demolishing-buildings-should-start-using-the-carbon-spent-in-the-past-to-avoid-the-emission-of-more-in-the-present/</t>
  </si>
  <si>
    <t>Munich project to use recycled concrete in new urban development</t>
  </si>
  <si>
    <t>An urban development project in Munich on the site of a former military barracks will use concrete from existing buildings to create new apartment blocks, retail spaces and schools. The crushed concrete, along with crushed mineral rubble, bricks and plaster, will be used as aggregate for the on-site production of fresh concrete. Munich’s municipal authority, the project leader, is a member of the EU’s URGE programme for recycling in the construction sector.</t>
  </si>
  <si>
    <t>https://www.muenchen.de/rathaus/Stadtverwaltung/Referat-fuer-Stadtplanung-und-Bauordnung/Projekte/Bayernkaserne.html</t>
  </si>
  <si>
    <t>https://urbact.eu/urge</t>
  </si>
  <si>
    <t>Scottish government provides local authority funding for circular projects</t>
  </si>
  <si>
    <t>Scotland’s ministry for the circular economy has begun spending the country’s £70m recycling improvement fund, awarding funds totalling £7m to seven local authorities to support recycling and garden/food waste initiatives. The money will pay for the introduction of services such as plastic film recycling or an increase in the frequency of existing provision. The Scottish government remains committed to introducing the UK’s first deposit return scheme to encourage bottle recycling and re-use.</t>
  </si>
  <si>
    <t>https://www.gov.scot/news/towards-a-circular-economy/</t>
  </si>
  <si>
    <t>Canada’s academies sketch out circular futures</t>
  </si>
  <si>
    <t>Canada's circularity rate could reach 21.3% if the country adopted the circular economy measures being introduced in France, compared with 6.1% at the current level of adoption, according to a report by the Council of Canadian Academies. The study, &lt;em&gt;Turning Point&lt;/em&gt;, examines the opportunities and challenges involved in moving Canada to a circular economy, setting out four future scenarios of what the national economy could look like in 2040 and using Sankey diagrams to illustrate material flows for the various predictions.</t>
  </si>
  <si>
    <t>https://www.cca-reports.ca/wp-content/uploads/2021/11/Turning-Point_digital.pdf</t>
  </si>
  <si>
    <t>Environmental Protection Agency focuses on circular economy in US recycling strategy</t>
  </si>
  <si>
    <t>The US Environmental Protection Agency has issued a National Recycling Strategy for 2030 with a new emphasis on the circular economy. The strategy aims to reduce the climate impact from the production, consumption, use, and disposal of materials and makes a connection between achieving a circular economy and environmental justice. The EPA is looking to achieve a 50% recycling rate by 2030, from 32% at present, but recognises that recycling alone is not enough to achieve the agency's environmental goals.</t>
  </si>
  <si>
    <t>https://www.wastedive.com/news/epa-national-recycling-strategy-circular-economy-takeaways/610076/</t>
  </si>
  <si>
    <t>Digital twins and internet of things to drive circular economy growth: study</t>
  </si>
  <si>
    <t>Technologies such as digital twins and the Internet of Things will drive rapid growth in the circular economy over the next five years, according to a study by New York consultancy ABI Research, with circularity predicted to amount to 10.5% of the global economy by 2030. Digital twins - virtual copies of physical assets or systems - can enable designers and developers to optimise buildings, for example by reducing operating costs by 35% and carbon emissions by between 50% and 100%, as well as facilitating re-use and recycling of components. The Luxembourg Institute of Science and Technology is working on a digital twin of the whole of the grand duchy.</t>
  </si>
  <si>
    <t>https://www.abiresearch.com/press/sustainability-action-2030-105-world-will-have-achieved-circularity/</t>
  </si>
  <si>
    <t>https://www.tradeandinvest.lu/news/a-nation-wide-digital-twin/</t>
  </si>
  <si>
    <t>UK retailer establishes fund to end ‘make, use, throw away’ model</t>
  </si>
  <si>
    <t>British retailer John Lewis has launched the Circular Future Fund with £1m to invest in projects that seek to replace the sector’s 'make, use, throw away' model with a shift to circularity. The group, which includes Waitrose food stores, is looking for ideas from charities, academics and start-ups that have the potential to reduce the environmental impact of food, clothing and gadgets. The fund was raised from the sale of £0.10 plastic bags at the group's UK stores.</t>
  </si>
  <si>
    <t>https://www.thirdsector.co.uk/retailer-offers-1m-grants-ideas-will-develop-circular-economy/fundraising/article/1734321</t>
  </si>
  <si>
    <t>Danish venture firm launches fund targeting sustainable start-ups</t>
  </si>
  <si>
    <t>Danish early-stage venture capital firm Kompas has launched a €160m fund that will invest in sustainable start-ups in areas including digitalisation and the circular economy. The firm, which specialises in support for digital transformation and automation in the built environment and manufacturing, is targeting innovative circular companies in Europe, Israel and North America.</t>
  </si>
  <si>
    <t>https://www.finsmes.com/2021/11/kompas-launches-160m-venture-capital-fund.html</t>
  </si>
  <si>
    <t>Equipment financing made available for Europe’s circular businesses</t>
  </si>
  <si>
    <t>Dutch-based asset finance group DLL and the European Investment Bank are making up to €370m available in new lending for small and medium-sized businesses in Belgium, the Netherlands and Luxembourg to pursue circular economy-related or green projects. The funding is earmarked in particular to support the purchase of refurbished equipment and machinery.</t>
  </si>
  <si>
    <t>https://www.assetfinanceinternational.com/index.php/equipment-finance/news-emea/emea-articles/20699-dll-and-european-investment-bank-to-plough-370-million-into-benelux-green-finance</t>
  </si>
  <si>
    <t>Luxembourg-based circular bioeconomy fund completes new capital round</t>
  </si>
  <si>
    <t>The Luxembourg-based European Circular Bioeconomy Fund has completed its latest capital-raising round, taking total funding to more than €200m. Launched in 2020 by the EU and supported initially by €100m from the European Investment Bank, the fund has since attracted private investors as it seeks to raise €250m to invest in 25 companies. It already supports PeelPioneers, a Netherlands-based circular start-up that is exploiting the popular taste for freshly-squeezed orange juice. Its production plant collects a daily load of 120,000 kilos of orange peel that would normally be incinerated, processing it into raw materials used by food and drinks manufacturers as well as detergent and cosmetics producers.</t>
  </si>
  <si>
    <t>https://www.ecbf.vc/press-release-fourth-closing</t>
  </si>
  <si>
    <t>https://static1.squarespace.com/static/5a635c7ed7bdcecfbe7bde00/t/5f76ccf55053ec00ece528dc/1601621237558/201001_PeelPioneers_Press+Release+ENG_DEF%5B1076%5D.pdf</t>
  </si>
  <si>
    <t>FEDIL recognises four businesses in 17th environment awards</t>
  </si>
  <si>
    <t>Peintures Robin, Goodyear, La Provençale and Moulins de Kleinbettingen have received awards in the 17th edition of the Prix de l’Environnement organised by business organisation FEDIL for projects supporting sustainable and circular practices in Luxembourg. Peintures Robin received the award in the product category for its Robinloop solution to reuse leftover paint, while Goodyear was selected in the process category for replacement of petroleum-based resins with sustainable alternatives. In the management category, La Provençale was recognised for its deployment of cryogenic refrigeration trucks to reduce its carbon footprint, and Moulins de Kleinbettingen for its development of 100% recyclable plastic bags.</t>
  </si>
  <si>
    <t>https://www.fedil.lu/fr/press-releases/prixenvironnement2021/</t>
  </si>
  <si>
    <t>Canadian city launches innovation challenge to encourage circular shift</t>
  </si>
  <si>
    <t>The Canadian city of Guelph in south-western Ontario has launched an innovation challenge to develop a regional currency or loyalty programme using carbon credits to encourage climate-positive and circular actions by small businesses and individuals. The challenge is open to established firms, start-ups and non-profit groups, and the solution could also take the form of an app for employers to encourage and monitor carbon-reduction behaviour by their employees. Innovators will be offered up to C$15,000 toward development costs, up to 15,000 tonnes of carbon credits and expert support from the city authority and partner organisations. Applications are open until January 12.</t>
  </si>
  <si>
    <t>https://technationcanada.ca/en/news/city-of-guelph-carbon-credit-innovation-challenge/</t>
  </si>
  <si>
    <t>Luxembourg could become global centre of circular expertise: Chamber of Commerce conference</t>
  </si>
  <si>
    <t>The launch of the Product Circularity Data Sheet, a Luxembourg circular economy project that has gained international recognition through award of an ISO standard, illustrates the country's potential to become a global centre of expertise, according to Jérôme Petry, project leader for digital industry, new technology and research at the Economy Ministry. He was speaking at a conference on the current state of Luxembourg's transition to circularity hosted by the Chamber of Commerce on November 30, including a presentation of higlights of the chamber's survey, &lt;em&gt;The Circular Economy in Luxembourg: Moving from Theory to Practice&lt;/em&gt;, by senior economist Hoai Thu Nguyen Doan, including the practical steps involved in delivering a circular economy and the resulting benefits.</t>
  </si>
  <si>
    <t>https://www.cc.lu/toute-linformation/actualites/detail/conference-leconomie-circulaire-des-benefices-pour-tous</t>
  </si>
  <si>
    <t>https://www.cc.lu/fileadmin/A_T_26_Economie_circulaire.pdf</t>
  </si>
  <si>
    <t>https://vimeo.com/650258307</t>
  </si>
  <si>
    <t>French consultancy launches online courses for circular businesses</t>
  </si>
  <si>
    <t>Paris-based circularity consultancy and certified B corporation Circulab has launched an online training course entitled &lt;em&gt;Learn How to Design Circular Business Model&lt;/em&gt;s. Accessible at any time and conducted in English, the course offers a suggested timescale for completion of four weeks and includes a one-hour Q&amp;A session with Circulab trainers. A separate eight-week &lt;em&gt;Master Circular Design&lt;/em&gt; course is also available, starting on alternate months in either English or French.</t>
  </si>
  <si>
    <t>https://circulab.academy/courses/design-circular-business-models/</t>
  </si>
  <si>
    <t>Study calling for regional co-operation at circular and social economy conference in Luxembourg</t>
  </si>
  <si>
    <t>A study that calls for increased co-operation with the regions bordering Luxembourg in developing a circular and social economy was presented at a conference on November 17 that brought together politicians from the grand duchy, business people and representatives from the social services sector. Delegates discussed experiences of circularity and were updated with the latest research in the field. Organised by the government’s Labour, Employment, Social and Solidarity Economy Ministry, the conference included a presentation by economy minister Franz Fayot on his vision of the country's future strategy.</t>
  </si>
  <si>
    <t>https://mteess.gouvernement.lu/fr/actualites.gouvernement%2Bfr%2Bactualites%2Btoutes_actualites%2Bcommuniques%2B2021%2B11-novembre%2B17-fayot-economie-circulaire.html</t>
  </si>
  <si>
    <t>https://mesis.lu/news/sociale-et-circulaire-leconomie-de-demain/</t>
  </si>
  <si>
    <t>Wiltz issues tender for circular economy training programmes</t>
  </si>
  <si>
    <t>The Circular Innovation Hub created by the Luxembourg municipality of Wiltz has issued an invitation to tender for training programmes dedicated to the circular economy for local authorities and schools. The programmes should be accessible to non-experts and guarantee a full understanding of the circular economy concept, its current implementation in the grand duchy and its surrounding regions, and best practice for driving its adoption.</t>
  </si>
  <si>
    <t>https://pmp.b2g.etat.lu/app.php/consultation/523390?orgAcronyme=t5y</t>
  </si>
  <si>
    <t>Pop-up museum highlights 2050 zero waste vision</t>
  </si>
  <si>
    <t>The first edition of the Musée du Déchet, created by the Luxembourg Center for Circular Economy, has opened in the heart of Luxembourg City. The pop-up museum at Josy Welter House near the Place d'Armes aims to sensitise society to the issue of resources and waste, their implications for climate change, and the preservation of biodiversity in line with national zero waste strategies and the creation of a no-waste society by 2050.</t>
  </si>
  <si>
    <t>https://www.lcce.lu/</t>
  </si>
  <si>
    <t>http://themud.eu/</t>
  </si>
  <si>
    <t>Renault plans second recycling plant in Spain for electric vehicles</t>
  </si>
  <si>
    <t>Renault is to construct a recycling facility in Seville next year to handle components of its electric vehicles, following the example of its first so-called ReFactory at Flins in France. The progressive scaling up of operations at the 5,000-square-metre plant between 2022 and 2024 will enable the reconditioning of up to 10,000 electric vehicles a year. The facility will also handle repair and second-life re-use of car batteries, and both production and recycling of gearboxes for the carmaker's hybrid vehicles.</t>
  </si>
  <si>
    <t>https://www.electrive.com/2021/11/06/renault-plans-refactory-to-build-circular-ev-economy-in-spain/</t>
  </si>
  <si>
    <t>https://en.media.renaultgroup.com/news/in-seville-renault-group-sets-up-a-refactory-for-its-activities-in-spain-5b4f-989c5.html</t>
  </si>
  <si>
    <t>Finland showcases circular businesses including Everything-as-a-Service firms</t>
  </si>
  <si>
    <t>The Finnish government agency for innovation has published a list of the country’s 41 most interesting circular companies, featuring a variety of Everything-as-a-Service (XaaS) firms, along with businesses offering sustainable alternatives to plastic, reconditioning of mechanical parts and the recycling and re-use of food, textiles and construction materials. The XaaS offerings range from factory production capacity and clothing to compressed air and workwear.</t>
  </si>
  <si>
    <t>https://www.sitra.fi/en/articles/41-pioneering-fnnish-circular-economy-companies/?utm_source=creamailer&amp;utm_medium=email&amp;utm_campaign=Carbon-neutral+circular+economy+Newsletter&amp;utm_content=%5Bemail%5D</t>
  </si>
  <si>
    <t>Re-use gaining in popularity with Luxembourg consumers</t>
  </si>
  <si>
    <t>A survey of more than 1,000 households in Luxembourg has found that half of respondents have either purchased or are using a second-hand item. Clothes, footwear and accessories are top of the list for re-use, followed by furniture, electrical appliances and electronic goods, according to the Environment Agency study. Another survey of 8,000 consumers by Capgemini indicates that up to 72% are keen to support circularity, but companies need to respond better to their expectations. Purchasing more durable products (72%), reducing overall consumption (54%) and maintaining and repairing goods to extend their life (70%) were the most favoured circular practices, but respondents cited a lack of information from companies about products as well as the cost as barriers.</t>
  </si>
  <si>
    <t>https://environnement.public.lu/fr/actualites/2021/10/reemploi-tns.html</t>
  </si>
  <si>
    <t>https://www.capgemini.com/gb-en/news/businesses-must-embrace-circular-economy-practices-and-enable-greater-consumer-adoption-to-build-resilience-for-the-future/</t>
  </si>
  <si>
    <t>Retailers turn to technology for circularity programmes in UK</t>
  </si>
  <si>
    <t>Major UK retailers are using technology to encourage the re-use, recycling and take-back of goods ranging from beauty product packaging to electronic devices. Health and beauty retailer Boots is offering a Scan2Recycle service at 700 stores, where customers can scan and return empty items using a QR code and receive loyalty points. The Co-op supermarket chain has partnered with Spring, a recycle, re-use and repair start-up, to launch a network of collection pods at its stores for old mobile phones, smart watches and tablets, with consumers receiving payment a few days later. Blockchain technology is being deployed in Costa Coffee’s trial at 14 Glasgow outlets of a reusable metal cup, with each transaction involving the cup – and its digital twin - recorded on the blockchain using a QR code tag scanned in-store. Tracking enables consumers to pick up a coffee in one store, drop off the empty cup in another, and pick up a new one, eliminating single-use coffee cups, of which an estimated 2.5 billion are used in the UK every year.</t>
  </si>
  <si>
    <t>https://www.computerweekly.com/feature/How-in-store-technology-is-supporting-retails-sustainability-agenda</t>
  </si>
  <si>
    <t>https://www.austella.com/news/launches-valari-platform/</t>
  </si>
  <si>
    <t>Geospatial technology boosting circular economy by extending land and resources data</t>
  </si>
  <si>
    <t>Geospatial technology is playing a part in the circular economy by providing people with information about their land and environment, according to presentations at the Geospatial World Forum in Amsterdam. Technology for documenting land and resource rights helps to build more sustainable communities, says Amy Coughenour Betancourt, CEO of the Cadasta Foundation, who argues that no circular economy or bio-economy can exist without the sustainable and equitable use of land and natural resources. She says a lack security of land tenure impacts people’s ability to make changes such as moving towards regenerative agriculture.</t>
  </si>
  <si>
    <t>https://www.geospatialworld.net/article/using-geospatial-data-to-monitor-sdg-progress-support-circular-economy/</t>
  </si>
  <si>
    <t>https://cadasta.org</t>
  </si>
  <si>
    <t>Honeywell proclaims revolution in plastics recycling</t>
  </si>
  <si>
    <t>Honeywell says it has developed a revolutionary plastic recycling technology that will expand the range of material that can be processed into feedstock for new plastic. Its UpCycle Process Technology uses molecular conversion, pyrolysis and contaminant management to handle plastics that are hard to recycle, notably coloured, flexible and multi-layered packaging and polystyrene. Combined with chemical and mechanical processes, along with improvements to collection and sorting, Upcycle could make 90% of plastic waste recyclable, the company says. The first plant to use the technology will be a joint venture in Andalusia with Spanish engineering firm Sacyr, which aims to transform 30,000 tonnes of mixed plastic waste into feedstock a year starting in 2023.</t>
  </si>
  <si>
    <t>https://www.prnewswire.com/news-releases/honeywell-introduces-revolutionary-plastics-recycling-technology-to-drive-a-circular-plastics-economy-301413530.html</t>
  </si>
  <si>
    <t>Blockchain company to offer digital twin platform for circular economy</t>
  </si>
  <si>
    <t>Mattereum, a London-based company providing blockchain services for the trading of physical assets such as fine art, is making its technology available for the circular economy, by enabling users to document any goods, check their authenticity and preserve their value. Physical items will receive the equivalent of a digital passport, or ‘digital twin’, which can be used securely on a trading platform, keeping goods in circulation for longer. The company has hosted a series of events at the COP26 climate conference in Glasgow.</t>
  </si>
  <si>
    <t>https://www.businesswire.com/news/home/20211104005805/en/Circular-Economy-Innovators-Mattereum-Announce-Blockchain-Powered-Marketplace-for-Net-Zero-Physical-Goods-and-Services</t>
  </si>
  <si>
    <t>https://mattereum.com/cop26/</t>
  </si>
  <si>
    <t>Luxembourg partners working to cut emissions from asphalt</t>
  </si>
  <si>
    <t>The Luxembourg Institute of Science and Technology is helping domestic roadbuilding company Karp-Kneip to reduce the carbon footprint of its asphalt. LIST has carried out a life-cycle analysis to identify the main components of carbon emissions and to examine how changes such as the use of recycled material or lower preparation temperatures could be introduced. The analysis has found that a 40% increase in recycled content can reduce greenhouse gas emissions by between 17% and 30%, while emission reductions of 7% to 11% can be achieved by lowering the application temperature by 20°C.</t>
  </si>
  <si>
    <t>https://www.infogreen.lu/des-enrobes-basses-temperatures-et-a-fort-taux-de-recyclage.html</t>
  </si>
  <si>
    <t>3D printer manufacturer to offer take-back programme</t>
  </si>
  <si>
    <t>Roboze, a 3D printer and materials manufacturer based in Italy and the US, is launching a circular economy programme in January to take back waste material created during the printing process and any 3D printed parts that have reached end of life. The materials will be recycled and made available for purchase at a much lower cost than the original products.</t>
  </si>
  <si>
    <t>https://3dprint.com/286111/roboze-to-begin-circular-economy-program-starting-next-year/</t>
  </si>
  <si>
    <t>https://www.roboze.com/en/press/</t>
  </si>
  <si>
    <t>Luxembourg making steady progress towards circularity: Chamber of Commerce survey</t>
  </si>
  <si>
    <t>Companies in Luxembourg are gradually embracing the circular economy, with 32% of them already integrating this approach in their business models or planning to do so, according to a survey by the Luxembourg Chamber of Commerce, while a further 17% are willing to look into circularity. The three main drivers of interest are a desire to optimise resource use and make savings (65%), responding to the challenges of climate change and energy demand (63%), and meeting customers' new expectations (56%). The main results of the survey and a publication on 'The circular economy in Luxembourg: moving from theory to practice' will be presented at an event at the Luxembourg Chamber of Commerce Conference Center on November 30.</t>
  </si>
  <si>
    <t>https://www.cc.lu/toute-linformation/publications/detail/barometre-de-leconomie-s2-2021-thematique-economie-circulaire</t>
  </si>
  <si>
    <t>https://www.cc.lu/agenda/detail/leconomie-circulaire-des-benefices-pour-tous-1?tx_ccagenda_agenda%5Bmonth%5D=2021-11</t>
  </si>
  <si>
    <t>Construction products marketplace receives cash injection</t>
  </si>
  <si>
    <t>StockPro, a French company that has developed a platform for making unused building materials available for sale, has raised €4m in a funding round. An estimated 22 million tonnes of new materials and tools worth €5bn are discarded every year on building sites in France. The StockPro platform enables construction firms to sell surplus tools and material at low cost, at first to other builders and subsequently also to DIY enthusiasts in the general public.</t>
  </si>
  <si>
    <t>https://www.zepros.fr/dechets-neufs-la-solution-stockpro-leve-4-millions-deuros--101798</t>
  </si>
  <si>
    <t>https://www.stock-pro.fr/mission</t>
  </si>
  <si>
    <t>Estonian equipment rental platform secures new funding</t>
  </si>
  <si>
    <t>Fairown, an Estonian start-up that has created a goods rental platform, has raised €4.2m in a second funding round. The platform enables a range of businesses to offer IT equipment, consumer electronics and power tools on a monthly subscription basis, as an alternative to purchase and ownership. It also supports the product renewal cycle by collecting and utilising old equipment. Already operating in eight markets across the Baltic and Nordic states, Fairown will use the new funding to expand into Germany and Poland.</t>
  </si>
  <si>
    <t>https://www.eu-startups.com/2021/11/estonian-fintech-startup-fairown-secures-e4-2million-empowering-companies-to-contribute-to-waste-reduction-and-conscious-consumption/</t>
  </si>
  <si>
    <t>European impact fund expands capacity to finance start-ups</t>
  </si>
  <si>
    <t>Dutch-based investment fund Rubio Impact Ventures has raised €110m in a second financing round with the aim of supporting more than 30 new businesses in the areas of circular solutions, people power and healthy living. The company, which  previously invested in 11 start-ups, says the latest funding round exceeded its initial target by 40% and means it is now managing €150m in impact capital.</t>
  </si>
  <si>
    <t>https://www.innovatorsmag.com/boost-for-social-impact-innovators/</t>
  </si>
  <si>
    <t>https://www.rubio.vc/2021/10/12/exceeding-all-expectations-e110m-fund-raise-on-our-2nd-impact-fund/</t>
  </si>
  <si>
    <t>Swiss parliamentary committee backs circularity amendments to environmental legislation</t>
  </si>
  <si>
    <t>The environment, planning and energy committee of Switzerland's lower house of parliament has endorsed measures to encourage the circular economy in the country’s environmental legislation, by reducing waste and supporting re-use, repair and recycling. The measures include a liberalisation of household waste collection, more demanding requirements for product and packaging design, and encouraging more environment-friendly choices in the construction sector such as low-carbon concrete, locally-grown sustainable wood and recycled material.</t>
  </si>
  <si>
    <t>https://www.lematin.ch/story/offensive-pour-leconomie-circulaire-a-berne-339378416803</t>
  </si>
  <si>
    <t>https://www.lenouvelliste.ch/articles/suisse/environnement-une-commission-veut-reduire-limpact-de-leconomie-en-suisse-1124880</t>
  </si>
  <si>
    <t>European Commission urged to act to curb textile waste</t>
  </si>
  <si>
    <t>Eleven countries are calling on the European Commission to be ambitious in tackling textile waste in its forthcoming strategy proposal for the industry. In a joint paper, the group calls for measures to make the sector more sustainable; European consumers currently buy 26 kilos of textiles a year and discard 11 kilos due to fast-fashion tendencies. The paper, signed by Austria, Belgium, Denmark, Finland, France, Germany, Luxembourg, the Netherlands, Norway, Spain and Sweden, proposes measures such as recycled content requirements and avoiding destruction of unsold stock.</t>
  </si>
  <si>
    <t>https://www.euractiv.com/section/circular-economy/news/eleven-european-countries-call-for-ambitious-measures-to-tackle-waste-in-textiles/</t>
  </si>
  <si>
    <t>Circular economy featured at Infrachain blockchain conference</t>
  </si>
  <si>
    <t>A session devoted to the circular economy and blockchain technology featured at the Infrachain Summit on November 18, attracting speakers from both the public and private sector, as part of a hybrid event that took place simultaneously in Luxembourg, Italy and online. Organised by Infrachain, a non-profit organisation based in the grand duchy focused on promoting blockchain, the Luxembourg session began with presentations by Suez, Chemchain and Empower on their use of the technology in environmental, chemical and plastic waste applications. These were followed by a panel discussion including Jérôme Petry, a project leader with DG Industry, New Technologies and Research with Luxembourg's Ministry of the Economy, who recently presented Luxembourg's circular economy strategy at the Taiwan Alliance for Sustainable Supply conference in Taiwan.</t>
  </si>
  <si>
    <t>https://www.infrachainsummit.com/agenda</t>
  </si>
  <si>
    <t>https://infrachain.com/infrachain-summit-2021-showcases-the-use-of-blockchain-in-the-real-economy/</t>
  </si>
  <si>
    <t>https://tassasiaexpo.com/news.php?lang=en</t>
  </si>
  <si>
    <t>South Australia set to host circular economy support hub</t>
  </si>
  <si>
    <t>Circular360, a global centre of excellence for the circular economy, is being created in Adelaide, backed by A$1m in funding from the South Australia government over a three-year period. The centre will provide training and education in circularity, recycling and resource recovery, focusing on how these practices can benefit the business community. It will also seek to bring circular economy investment and research to the area.</t>
  </si>
  <si>
    <t>https://alga.asn.au/circular-economy-centre-of-excellence-slated-for-adelaide/</t>
  </si>
  <si>
    <t>https://www.circular360.org</t>
  </si>
  <si>
    <t>Circular economy on the agenda at COP26 in Glasgow</t>
  </si>
  <si>
    <t>The COP26 climate conference in Glasgow provided an opportunity to showcase the circular economy in a range of daily sessions and panel talks. The Ellen MacArthur Foundation hosted or provided speakers at events, with other participants including representatives from the European Circular Economy Stakeholder Platform, leading investment firms including BlackRock and Morgan Stanley, and brands such as PepsiCo, Nike and Ikea as well as regional bodies.</t>
  </si>
  <si>
    <t>https://ellenmacarthurfoundation.org/cop26</t>
  </si>
  <si>
    <t>Showcase house for circularity opens in Switzerland</t>
  </si>
  <si>
    <t>A model house showcasing the circular economy has been constructed at Feldbach near Zurich, illustrating resource use, recycling and energy efficiency in practice. The components are a combination of nature-based materials, such as clay and wood, and second-hand items including windows. Surplus energy from solar panels is stored in second-life batteries, while lightly polluted water is treated and re-used within the building. The KREIS-Haus is available for visits, workshops and overnight stays.</t>
  </si>
  <si>
    <t>https://www.zhaw.ch/en/lsfm/institutes-centres/iunr/ecological-engineering/ecotechnology/wastewater/kreis-haus/</t>
  </si>
  <si>
    <t>Porto authorities experiment with community composting</t>
  </si>
  <si>
    <t>Local authorities in the Portuguese city of Porto are trialling a neighbourhood organic composting project that returns waste to the biological cycle. Supported by EU programme CityLoops, the project has led to the installation of two compost ‘islands’ where residents can deposit organic waste inside composting containers, which are opened using a key card. Field technicians will monitor the composting process, with residents free to help themselves once the contents are ready for use.</t>
  </si>
  <si>
    <t>https://cordis.europa.eu/article/id/430688-making-the-economy-of-europe-s-cities-more-circular</t>
  </si>
  <si>
    <t>https://cityloops.eu/</t>
  </si>
  <si>
    <t>France to phase out plastic packaging for fruit and vegetables</t>
  </si>
  <si>
    <t>France is to ban all plastic packaging for fruit and vegetables by 2026 to eliminate the use of more than 1 billion wrappings a year. The ban will come into force on January 1 next year for an initial list that includes vegetables such as aubergines, courgettes and peppers, as well as potatoes, carrots and onions, but not their spring-harvested varieties. Exemptions also exist for vegetables sold in packs weighing more than 1.5 kilos. Around 37% of all fruit and vegetables are sold in France with plastic packaging, according to government estimates.</t>
  </si>
  <si>
    <t>https://www.ecologie.gouv.fr/vers-fin-des-emballages-plastique-autour-des-fruits-et-legumes</t>
  </si>
  <si>
    <t>Austrian company receives regional environmental award for plastic recycling technology</t>
  </si>
  <si>
    <t>Engel, an Austrian injection moulding machine manufacturer, has received the 2021 Upper Austria Environmental Award for its skinmelt plastic recycling technology, which enables recycled plastic waste to be used as the filling for a ‘sandwich’ involving a surface coat of virgin plastic. While the top coat provides all the performance required from new plastic in high-quality applications, skinmelt enables much higher quantities of recycled waste to be used compared with other sandwich processes.</t>
  </si>
  <si>
    <t>https://www.medicalplasticsnews.com/news/medical-plastics-sustainability-news/engel-austria-scoops-state-environmental-prize-2021/</t>
  </si>
  <si>
    <t>Avery Dennison provides digital labelling for circular clothing loop initiative</t>
  </si>
  <si>
    <t>California-based labelling specialist Avery Dennison, which has a plant in Luxembourg, is providing technology for an upcycling and reuse initiative to extend the lifecycle of sweaters from US fashion brand UpWest. A digital care label on each garment provides customers with product information, guidance on its care and the ability to engage with UpWest, which has partnered with circular fashion firm ReCircled to turn used clothes into winter blankets, dog sweaters and mittens.</t>
  </si>
  <si>
    <t>https://retailtechinnovationhub.com/home/2021/10/5/upwest-and-recircled-enlist-avery-dennison-for-circular-economy-push</t>
  </si>
  <si>
    <t>Swiss watchmakers adopt circular approach to use of stainless steel</t>
  </si>
  <si>
    <t>Switzerland’s watchmakers are bringing circularity to their use of a key raw material, stainless steel, of which the sector consumes 9,000 tonnes a year. Precycling, a company based at Reconvilier in the Bernese Jura, is disassembling watches and components from 20 brands to recover 20 tonnes of steel a month. The metal is taken across the border to France’s Savoie département to be melted into machinable bars for reuse by watch brands in Switzerland. The country's watchmakers are also participants in a Luxembourg initiative, the Product Circularity Data Sheet, which provides information about a product and its end-of-use cycle.</t>
  </si>
  <si>
    <t>https://www.swissinfo.ch/eng/swiss-watchmaking-industry-embraces-the-circular-economy/46964724</t>
  </si>
  <si>
    <t>Experts highlight key elements for success of circular models</t>
  </si>
  <si>
    <t>Embracing circularity should be treated as a purely business decision that can begin with small steps, such as switching to more sustainable materials, according to Tanah Sullivan, head of sustainability at Indonesian tech group GoTo. Global head of sustainability Robert Metzke says the starting point at Royal Philips was to obtain a clear picture of global end-to-end impact before embedding circularity in its core strategy, along with its individual businesses, markets and functions. Ibrahim Al-Zu’bi, chief sustainability officer of Dubai-based shopping mall operator Majid Al Futtaim-Holding, argues that the circular commitment must be maintained over time although success cannot be measured overnight, while Dr Christian Haessler, head of the global circular economy programme at chemicals group Covestro in Germany, says that getting the whole company behind circularity both in mindset and actions is critical.</t>
  </si>
  <si>
    <t>https://www.weforum.org/agenda/2021/09/4-industry-leaders-on-what-it-takes-to-go-circular-economy-circularity-sdis-2021/</t>
  </si>
  <si>
    <t>Study highlights advantages of sharing rather than owning: consultancy Systemiq</t>
  </si>
  <si>
    <t>A report into circular economy models underlines the benefits of using shared services rather than owning equipment, according to circular consultancy Systemiq, which examined the potential of everything-as-a-service (XAAS) through interviews with 50 experts. It cites practical examples ranging from car sharing and Michelin’s tyre service provision to equipment as a service and Rolls-Royce’s power-by-the-hour approach. The study, supported by the Ellen MacArthur Foundation, argues that companies can reduce their total cost of ownership by 40% by embracing XAAS, while benefiting the environment at the same time.</t>
  </si>
  <si>
    <t>https://resource.co/article/systemiq-releases-circular-economy-report-ahead-climate-week</t>
  </si>
  <si>
    <t>New UK facilities to recycle plastic and produce hydrogen</t>
  </si>
  <si>
    <t>UK clean energy company Peel NRE is planning to build a £165m ‘plastic park’ in north-west England for recycling plastic waste. Planning consent has been granted for two facilities at the site near Ellesmere Port: one for processing polyethylene terephthalate (PET) packaging into flakes for use in new products; the other for turning plastic into hydrogen, producing 1,000 kilos a day to power around 40 heavy goods vehicles. Plans for further facilities for handling mixed recyclables and plastic have also been submitted.</t>
  </si>
  <si>
    <t>https://www.circularonline.co.uk/news/plans-for-uks-first-165m-plastic-park-submitted/</t>
  </si>
  <si>
    <t>Luxembourg organisations launch new edition of Circular by Design competition</t>
  </si>
  <si>
    <t>Luxinnovation and the Luxembourg Creative Industries Cluster have launched the 2021 Circular by Design Challenge, following a successful pilot competition last year. Entrepreneurs from Luxembourg and across Europe are encouraged to submit their ideas for new circular solutions, either business models or technologies, in the categories of sustainable cities, industry 4.0, fashion design, mobility, and nation branding. The best entries will receive a place on a 12-week coaching programme and the chance to develop their project with one of the competition's industrial partners.</t>
  </si>
  <si>
    <t>https://www.luxinnovation.lu/fr/news/the-circular-by-design-challenge-goes-international/</t>
  </si>
  <si>
    <t>https://www.youtube.com/watch?v=ulD3pJLQZdw</t>
  </si>
  <si>
    <t>Quebec establishes circular economy adaptation programme for local companies</t>
  </si>
  <si>
    <t>Local authorities in Canada's central Quebec region have launched a programme to help companies adapt to circular economy business strategies. Two advisers have been appointed to provide support in five ways: finding takers for post-production residual materials, identifying ways of diversifying the supply chain, calculating the true cost of residuals, rethinking packaging, and sharing space and equipment with other companies. The programme is supported by a C$240,000 grant from government agency Recyc-Québec and will run for 30 months.</t>
  </si>
  <si>
    <t>https://www.lecourriersud.com/accompagnement-en-economie-circulaire-pour-les-entreprises/</t>
  </si>
  <si>
    <t>Caritas Luxembourg brings sustainable fashion to Royal Hamilius complex</t>
  </si>
  <si>
    <t>Caritas Luxembourg has opened a pop-up store in the capital's Royal Hamilius shopping complex to promote sustainable fashion. The Lët’z Refashion store sells second-hand clothes and accessories and offers a showcase for local creators of sustainable fashion, such as Luxembourg start-up Our Choice. The venue also plans to host workshops teaching adults and children how to upcycle, mend and customise clothes, and to host seminars, exhibitions and documentary screenings to raise public awareness about the social and environmental impact of the textile industry. Lët’z Refashion is part of a wider Rethink Your Clothes initiative supported by the Luxembourg government, Caritas Luxembourg and Fairtrade Lëtzebuerg.</t>
  </si>
  <si>
    <t>https://www.infogreen.lu/la-mode-ethique-durable-et-locale-au-royal-hamilius.html</t>
  </si>
  <si>
    <t>Green Alley Award seeks applicants from circular economy start-ups</t>
  </si>
  <si>
    <t>Applications are being sought from Europe’s circular economy start-ups for the 2022 Green Alley Award, worth €25,000. Now in its eighth annual edition, the competition is open to European companies created within the past five years in the areas of recycling, waste prevention and digital solutions. The six best applicants will go through to a final on April 28, 2022, with five chosen by the award committee and the sixth by a public vote from a preselected list. Applications close on November 23.</t>
  </si>
  <si>
    <t>https://green-alley-award.com/apply/</t>
  </si>
  <si>
    <t>France launches €370m programme to improve recycling infrastructure</t>
  </si>
  <si>
    <t>As part of its support for circular economy initiatives, France has unveiled a €370m programme to drive innovation in the recycling of plastics, composite materials, textiles, strategic metals and cardboard packaging. The funding will be made available between 2021 and 2027 to improve the country's recycling infrastructure, which is currently unable to process around one-third of the 350 million tonnes of waste produced annually. Investment will focus on research and development, deployment of industrial recycling facilities, and the introduction of tools for returning recycled materials to the industrial supply chain.</t>
  </si>
  <si>
    <t>https://www.gouvernement.fr/economie-circulaire-370-m-d-eu-pour-soutenir-l-innovation</t>
  </si>
  <si>
    <t>European Bank for Reconstruction and Development to fund circularity project for Turkish and Balkan SMEs</t>
  </si>
  <si>
    <t>The European Bank for Reconstruction and Development is leading a $155m funding programme to promote circular technologies and business models among small and medium-sized businesses in Turkey and five western Balkan countries. The Circular Economy Regional Initiative will seek to improve chemical and waste management, along with the security of raw material supplies, while fostering innovation and economic growth. The EBRD is providing $140m, with independent trust fund Global Environmental Facility contributing $13.76m and the Austrian government $1m. As well as Turkey, the initiative covers Albania, Bosnia and Herzegovina, Montenegro, North Macedonia and Serbia.</t>
  </si>
  <si>
    <t>https://www.ebrd.com/news/2021/ebrd-launches-first-circulareconomy-programme.html</t>
  </si>
  <si>
    <t>EU policymakers must consider embedded carbon in chemicals and other raw materials: MEP</t>
  </si>
  <si>
    <t>Forthcoming EU policy initiatives including the Sustainable Products Initiative and Safe and Sustainable-By-Design must consider the embedded carbon in raw materials, and particularly chemicals, according to European Parliament member Maria da Graça Carvalho. She argues that fossil fuels remain the principal feedstock for the manufacture of most chemicals and other materials, although the energy for production processes increasingly comes from renewable sources. Taking action on decarbonisation of chemicals at an EU level, she says, can ensure climate and circular strategies are aligned.</t>
  </si>
  <si>
    <t>https://www.euractiv.com/section/energy-environment/opinion/making-climate-neutral-chemicals-and-materials-a-reality/</t>
  </si>
  <si>
    <t>International Repair Day highlights connection with climate change</t>
  </si>
  <si>
    <t>Countries around the world marked International Repair Day on October 16, with this year’s message – Repair Lowers Carbon Emissions – making a direct connection with next month's COP26 conference on climate change. The campaign has highlighted that the carbon emission impact of devices is greatest during their manufacture, reaching 79% for smartphones and 84% for blenders, underlining the importance of repair or purchasing items second-hand rather than new.</t>
  </si>
  <si>
    <t>https://www.meco.lu/de/blog/documentcenter/das-recht-der-konsumenten-auf-reparatur-ein-beitrag-zum-ressourcen-und-klimaschutz/</t>
  </si>
  <si>
    <t>https://openrepair.org/announcements/repair-day-2021/</t>
  </si>
  <si>
    <t>EU programme offers online training in circular economy</t>
  </si>
  <si>
    <t>EIT Climate-KIC, a knowledge community supported by the EU’s European Institute of Innovation and Technology, is offering online training courses this autumn on the circular economy. The series will open with two Train the Trainer modules starting on November 1 and 3, enabling participants to teach colleagues and other stakeholders about circular strategies, followed by three-day courses focusing on circularity within the manufacturing and food industries. All courses include group work and self-study time.</t>
  </si>
  <si>
    <t>https://www.climate-kic.org/news/eit-climate-kic-launches-new-series-of-circular-economy-courses/</t>
  </si>
  <si>
    <t>BMW unveils concept car for circular economy at Munich trade show</t>
  </si>
  <si>
    <t>BMW has unveiled a concept car, the I Vision Circular, at September’s IAA Mobility Show in Munich, manufactured mainly from components that have either been reused or created from recycled materials, with a small proportion coming from renewable raw materials. Thomas Becker, BMW’s vice-president for sustainability and mobility, says a key challenge will be to move away from complex composite materials that have reduced weight and therefore emissions, but are difficult to separate and reprocess. BMW aims to increase the recycled and reused content of its cars from 30% at present to 50% during this decade.</t>
  </si>
  <si>
    <t>https://www.edie.net/news/5/-New-territory-for-us---How-BMW-is-embedding-circular-economy-principles-to-accelerate-the-low-carbon-transition/</t>
  </si>
  <si>
    <t>SAP says carbon footprint tool offers data for regulators</t>
  </si>
  <si>
    <t>Software group SAP has launched Product Footprint Management, a tool that calculates a product’s carbon footprint throughout its entire lifecycle, before it is manufactured, and can provide disclosure reports about emissions for regulators and customers. Data can be imported from local lifecycle assessments or external providers. SAP is also planning to launch a Responsible Design and Production tool to help manufacturers meet their Extended Producer Responsibility obligations. Developed as a decision-making aid for sustainable products, it aims to enable firms to assess the operational costs of downstream processing and provide greater visibility of overall material flows.</t>
  </si>
  <si>
    <t>https://searchsap.techtarget.com/feature/How-does-SAP-intend-to-support-a-circular-economy</t>
  </si>
  <si>
    <t>https://www.itpro.co.uk/business-operations/product-lifecycle-management-plm/360922/sap-product-sustainability-carbon-footprint</t>
  </si>
  <si>
    <t>Circular economy is still a long way off: World Business Council for Sustainable Development</t>
  </si>
  <si>
    <t>Progress towards a circular economy remains slow, with only 5.9% of companies taking a leading role in the transition, according to a survey of 793 businesses by standards registrar and consultancy DNV for the World Business Council for Sustainable Development. The survey found that among companies looking to develop circularity projects, only 24.7% set a baseline before starting, while 26.7% defined goals and targets, and 19.8% set performance targets.</t>
  </si>
  <si>
    <t>https://www.wbcsd.org/Programs/Circular-Economy/News/DNV-Viewpoint-survey-Circular-Economy.-How-are-companies-transitioning</t>
  </si>
  <si>
    <t>France’s medium-sized companies understand circularity: survey</t>
  </si>
  <si>
    <t>A survey involving a small sample of medium-sized firms in France has found that circular economy practices are being deployed in some form by 83% of respondents. The most popular practices were recycling (31%), eco-design (26%), optimising procurement processes (13%) and sustainable sourcing (13%). The survey was carried out among several dozen firms by the Institut National de l’Économie Circulaire and Armor Print Solutions.</t>
  </si>
  <si>
    <t>https://f.hubspotusercontent40.net/hubfs/6183496/Barometre%20de%20léconomie%20circulaire_ARMOR%20Print%20Solutions_092021.pdf</t>
  </si>
  <si>
    <t>Strong growth predicted for clothing resale and rental market</t>
  </si>
  <si>
    <t>The global market for second-hand clothes is expected to more than double from $36bn this year to $77bn by 2025 as consumers embrace the circular economy as well as the opportunity to save money. The rise of resale websites and the impact of the Covid-19 pandemic meant that 33 million consumers bought second-hand clothes for the first time in 2020, with 76% of them expecting to increase their spending on used apparel over the next five years, according to resale platform ThredUP. In Luxembourg, a second-hand clothes retail section has opened at the Pall Center in Oberpallen. Clothing rental also grew during the pandemic, with the By Rotation app increasing its users by 425% in the year from March 2020, while Ralph Lauren introduced a rental service for its luxury wear in March this year.</t>
  </si>
  <si>
    <t>https://www.thredup.com/resale/#transforming-closets</t>
  </si>
  <si>
    <t>https://www.wired.co.uk/article/rent-second-hand-clothes</t>
  </si>
  <si>
    <t>https://www.infogreen.lu/nouvel-espace-seconde-main.html</t>
  </si>
  <si>
    <t>World Circular Economy Forum discusses measurement of circular economy progress</t>
  </si>
  <si>
    <t>Bringing different players together to find ways to identify key metrics of the benefits of the circular economy was the subject of an accelerator session at the World Circular Economy Forum 2021 in September. Jérôme Petry, a project leader with Luxembourg’s Directorate General for Industry, New Technologies and Research, contributed to the session Measuring What Matters: Opportunities at the Nexus of the Public and Private Sectors. He outlined Luxembourg’s proactive approach to the circular economy, along with the development of tools such as the Product Circularity Data Sheet initiative. In addition, as part of European Blockchain Week, Petry has detailed how the PCDS roll-out could be supported by blockchain and artificial intelligence technology.</t>
  </si>
  <si>
    <t>https://youtu.be/SbNcbUMOdD8</t>
  </si>
  <si>
    <t>https://youtu.be/KKgqGpZablw</t>
  </si>
  <si>
    <t>Ontario firms to receive circular economy training</t>
  </si>
  <si>
    <t>A business accelerator programme launched at Guelph in Ontario is aiming to scale up 49 firms through circular economy training and mentoring by 2024. Focused on the environment and food sectors, the COIL Activate Circular Accelerator will complement 50 circular economy firms and collaboration already supported by a smart cities project in Guelph, Our Food Future. The accelerator, which also offers grants and zero-interest loans, is open to both circular businesses and firms looking to transition to circularity.</t>
  </si>
  <si>
    <t>https://guelph.ca/2021/08/world-class-circular-economy-business-accelerator-program-is-launching-in-guelph-wellington/</t>
  </si>
  <si>
    <t>Austrian tech start-up Refurbed closes investment round</t>
  </si>
  <si>
    <t>Refurbed, an Austrian platform for buying and selling refurbished smartphones, laptops and other consumer electronics goods, has secured €45.4m in a Series B funding round led by Evli Partners and Almaz Capital, with new and existing investors participating. The company, founded in 2017, has sold 800,000 devices to date. It says it plants one tree in Haiti, Madagascar, Kenya, Indonesia, Mozambique or Nepal for every device sold.</t>
  </si>
  <si>
    <t>https://www.eu-startups.com/2021/08/austrian-scaleup-refurbed-snaps-up-e45-4-million-to-grow-its-refurbished-electronics-marketplace/</t>
  </si>
  <si>
    <t>Irish government announces funding for circular projects</t>
  </si>
  <si>
    <t>Ireland is providing €490,000 in funding for 10 projects under the government’s Circular Economy Innovation Grant Scheme, supporting initiatives in areas including sustainable fashion, marine plastics, reusable food packaging and construction. Launched in April, the scheme is being deployed as Ireland’s parliament, the Dáil, prepares to debate the Circular Economy Bill and the government is set to publish its circular economy strategy.</t>
  </si>
  <si>
    <t>https://www.circularonline.co.uk/news/e490000-awarded-to-projects-to-promote-circular-economy-across-ireland/</t>
  </si>
  <si>
    <t>EU and member states pursue multiple circular economy initiatives</t>
  </si>
  <si>
    <t>A total of 87 policy initiatives to develop the circular economy are being pursued by the EU and eight European governments, according to a study by sustainability consultancy Sofies. Policies identified cover a range from end-of-life to product design and repairability, with the most popular being communications around sustainability (9.6%), waste management (8.7%) and eco-design (8.1%). The study, &lt;em&gt;The Circular Economy for Europe: bridging the gap between policy and implementation&lt;/em&gt;, recommends harmonisation of standards and eco-labelling, along with incentives for the resale and recycling of goods and adoption of repair services.</t>
  </si>
  <si>
    <t>https://sofiesgroup.com/en/news/circular-economy-for-europe-bridging-the-gap-between-policy-and-implementation/</t>
  </si>
  <si>
    <t>Grohe earns Cradle to Cradle circular certification for four products</t>
  </si>
  <si>
    <t>Kitchen and bathroom tap manufacturer Grohe has relaunched four of its products after having them certified by the Cradle to Cradle Products Innovation Institute. Three tap sets and a shower rail have received the institute’s gold-level standard certification after being assessed according to the criteria of material health, recyclability, use of renewable energy and carbon management, water efficiency and social responsibility. The company says it is now working on a take-back programme for discarded Cradle to Cradle products.</t>
  </si>
  <si>
    <t>https://www.designboom.com/design/grohe-circular-economy-cradle-to-cradle-architonic-09-03-2021/</t>
  </si>
  <si>
    <t>Renault, Solvay and Veolia join forces on electric vehicle battery loop</t>
  </si>
  <si>
    <t>A consortium comprising France's Renault, chemical company Solvay and waste management group Veolia has created a circular loop for electric vehicle batteries. Solvay and Veolia had already been collecting and dismantling batteries to extract and purify metals such as cobalt, nickel and lithium. Previously only suitable for metallurgical applications, the recovery process is now being developed to provide high-purity metals that can be reused in new batteries.</t>
  </si>
  <si>
    <t>https://ellenmacarthurfoundation.org/news/groupe-renault-and-solvay-collaborate-to-create-a-circular-economy-for-ev</t>
  </si>
  <si>
    <t>https://www.veolia.co.uk/press-releases/groupe-renault-veolia-solvay-join-forces-recycle-end-life-ev-battery-metals-closed</t>
  </si>
  <si>
    <t>Tech firm Zebra wins award for circular economy programme</t>
  </si>
  <si>
    <t>Zebra Technologies, a supplier of mobile computing and electronic devices to businesses, has won the Business Intelligence Group’s 2021 Sustainability Service of the Year Award for its circular economy programme. The company's winning entry involves a combination of three programmes - device buy-back, refurbished device sales and rental, and recycling services. Zebra repurposed or recycled 63,000 devices last year, with more than 40,000 entering its programmes in the first half of 2021. The firm has locations in Belgium, Netherlands, France and Germany.</t>
  </si>
  <si>
    <t>https://www.businesswire.com/news/home/20210908005075/en/Zebra-Circular-Economy-Program-Wins-Business-Intelligence-Group-2021-Sustainability-Award</t>
  </si>
  <si>
    <t>Benu Reuse: new digital marketplace in Luxembourg to support reutilisation</t>
  </si>
  <si>
    <t>Luxembourg non-profit association Benu Village has launched Benu Reuse, an online platform for donating household items, construction materials and other goods in order to reduce consumer waste and support the circular economy. The digital marketplace connects people wanting to donate rather than discard unwanted items and materials with users who can reuse, repair, recycle or upcycle them, with Benu handling collection and delivery.</t>
  </si>
  <si>
    <t>https://www.benureuse.lu/en/</t>
  </si>
  <si>
    <t>https://www.facebook.com/benuvillageesch/posts/2192779307530837</t>
  </si>
  <si>
    <t>UK research hub announces circular economy webinars</t>
  </si>
  <si>
    <t>A series of five free webinars will be held from October 1 until the end of the year by the UK’s National Interdisciplinary Circular Economy Research programme. Topics will include circular systems, measuring the circular economy, circular design, value creation and business models. The programme involves a four-year, £30m investment by the government’s UK Research and Innovation agency to move Britain toward a circular economy.</t>
  </si>
  <si>
    <t>https://ce-hub.org/news/the-autumn-events-programme-is-here/</t>
  </si>
  <si>
    <t>EU project to launch tool for assessing regional circular economy transition</t>
  </si>
  <si>
    <t>An EU programme is preparing to unveil a Circular Benchmark Tool to enable regions and provinces to assess the state of their transition to a circular economy. Developed by REPLACE (REgional PoLicy Actions for Circular Economy), the online tool uses the criteria of procurement, access to funding, human capital, value chains, governance, and an integrated policy framework. It will be launched during the European Week of Regions and Cities in October, and programme members hope 50 regions will sign up to adopt the tool.</t>
  </si>
  <si>
    <t>https://www.interregeurope.eu/replace/news/news-article/12785/circular-benchmark-tool/</t>
  </si>
  <si>
    <t>https://eu.app.swapcard.com/event/eu-regions-week/plannings/RXZlbnRWaWV3XzE3NjcwOQ%3D%3D?search=</t>
  </si>
  <si>
    <t>Circular economy in the spotlight at sustainable building congress</t>
  </si>
  <si>
    <t>The construction industry’s challenges linked to climate change, resource shortages and circularity will be key topics at the Congrès International du Bâtiment Durable, to be held online and at three venues in France, Belgium and Germany between October 6 and 8. Claude Turmes, Luxembourg’s minister for energy and for spatial planning, will discuss the national strategy for renovation on October 7.</t>
  </si>
  <si>
    <t>https://www.congresbatimentdurable.com/lecongres/programme-cnbd9/</t>
  </si>
  <si>
    <t>Hair and salon waste recycled for energy, agriculture and absorbing oil spills</t>
  </si>
  <si>
    <t>Hairdressers in the UK, France and the US are greening their salons through collectives that recycle hair, foils and other material to keep them from landfill. In its first year the UK’s Green Salon Collective recycled nearly 500 kilos of hair and 3.5 tonnes of metal from 600 salons. According to the US association Matter of Trust, 500 grams of hair can absorb up to four litres of oil, and it has been used successfully to mop up several oil spills. In France, hair recycling association Coiffeurs Justes says hair makes up 50% of salon waste. In agriculture, hair is being composted, where it adds nutrients, while winegrowers are using hair to keep wild animals away from vines. Foils are being recycled for their metal, and leftover bleaches and dyes are burned to produce energy.</t>
  </si>
  <si>
    <t>https://www.euronews.com/green/2021/07/28/watch-uk-hairdressers-are-creating-a-circular-economy-out-of-old-hair</t>
  </si>
  <si>
    <t>https://www.livingcircular.veolia.com/fr/inspirations/le-cheveu-recycle-une-nouvelle-ressource</t>
  </si>
  <si>
    <t>or</t>
  </si>
  <si>
    <t>https://www.capillum.fr/</t>
  </si>
  <si>
    <t>https://www.theguardian.com/environment/2021/may/29/hair-waste-from-salons-recycled-to-mop-up-oil-spills</t>
  </si>
  <si>
    <t>German consortium pilots circular fashion business model</t>
  </si>
  <si>
    <t>A consortium of German fashion brands, charitable textile collectors and recyclers have launched the Closed Loop Pilot, a circular solution for the fashion industry. Initiated by circular.fashion and recycling industry group FairWertung, the pilot project includes participants from different stages of the industry chain, from production to recycling. Fashion brands including Armed Angels, Besonnen, Otto, The Slow Label and Vretena will include a circularity.ID in their products to track their lifecycle. The Closed Loop Pilot initiative aims to provide insights including participation from consumers, enabling partners to fine-tune their circular models for textiles.</t>
  </si>
  <si>
    <t>https://www.ecotextile.com/2021072828141/materials-production-news/new-pilot-looks-to-close-the-fashion-loop.html</t>
  </si>
  <si>
    <t>https://drive.google.com/file/d/1vL3E1X7DVk-1ndTJj2m0WKhR6I7JpOc7/view</t>
  </si>
  <si>
    <t>Closed loop strategies lower risk and increase returns: researchers</t>
  </si>
  <si>
    <t>Companies incorporating circular economy strategies are proving to have lower risk of debt default and higher risk-adjusted return on equity, according to researchers from Bocconi University in Milan. Their analysis of more than 200 listed European companies spanning 14 industries has found evidence that increased circularity pays dividends for both companies and investors. In a white paper, a collaboration between Bocconi, the Intesa Sanpaolo banking group and the Ellen Macarthur Foundation, the researchers say fostering circular economy principles reduces the risk of supply chain disruption and fluctuation in resource prices. The financial sector is increasingly seeing value in closed loop practices that contribute to mitigating climate change, the report argues.</t>
  </si>
  <si>
    <t>https://www.ellenmacarthurfoundation.org/news/circular-economy-risk-white-paper</t>
  </si>
  <si>
    <t>China encourages recycling and innovation to meet climate commitments</t>
  </si>
  <si>
    <t>China’s 2021-25 five-year plan focuses heavily on increasing resource efficiency, developing greener practices, encouraging recycling and inspiring innovation to meet the country's climate commitments. The plan, which covers all sectors of the economy from manufacturing to agriculture, includes an awareness campaign to encourage consumers to buy green products and boost the country's efforts to embrace the circular economy. To achieve its goals, China aims to build a recycling industry to improve resource efficiency, create a recycling-oriented society and a recycling system for waste material, and establish circular agricultural practices. The plan’s targets include increasing 2020 resource productivity levels by 20%, reducing energy and water consumption by 13.5% and 16% respectively, and utilising 60 million tonnes of waste paper and 320 million tonnes of scrap metal.</t>
  </si>
  <si>
    <t>https://www.china-briefing.com/news/chinas-circular-economy-understanding-the-new-five-year-plan/</t>
  </si>
  <si>
    <t>https://waste-management-world.com/a/china-unveils-new-circular-economy-plan</t>
  </si>
  <si>
    <t>Former Tesla engineer recycles e-waste to create new lithium-ion batteries</t>
  </si>
  <si>
    <t>Former Tesla engineer J.B. Straubel estimates that more than one billion batteries are languishing in old electronic equipment in US homes, representing an untapped source of valuable metals. He believes electric vehicles cannot be sustainable while the rare metals they require are being mined at substantial detriment to the environment and human rights. His company, Redwood Materials, aims to find end-of-life solutions for electric vehicle batteries as well as tackling the mountains of waste generated by electronic equipment. Redwood receives around 60 tonnes of old smartphones, energy instruments and scooter batteries daily, and his staff of 130 separate out the metals, pulverise and chemically treat them to re-enter the supply chain for use in new lithium-ion batteries. In 12 months Redwood says it recovered enough material to construct 45,000 electric car battery packs. Straubel estimates emissions from electric vehicles could be more than halved if their batteries are consistently recycled.</t>
  </si>
  <si>
    <t>https://www.ft.com/content/e88e00e3-0a0c-469a-986b-1ffda60b6aee</t>
  </si>
  <si>
    <t>https://www.onlineev.com/electric-vehicles-recycled-batteries-and-the-search-for-a-circular-economy/</t>
  </si>
  <si>
    <t>Chemical recycling project gives new lease of life to plastics</t>
  </si>
  <si>
    <t>Chemical recycling will be used to convert post-consumer plastics to virgin-quality polymers in an international collaboration to close the loop on plastic waste. The partnership, between Paris-based oil company TotalEnergies, packaging film converter Jindal Films and chemical recycler Plastic Energy, will see waste plastic turned into food packaging and labels for biscuits, snacks, chocolate bars, dry foods and pet food. TotalEnergies plans to convert its crude oil refinery at Grandpuits in France and launch an advanced plastics recycling plant to convert plastic waste liquid into Tacoil feedstock. Various European TotalEnergies plants will be used to convert the Tacoil into virgin-quality polymers to be marketed as Certified Circular Polymers traceable through the value chain. Jindal Films, which has headquarters at Windhof in Luxembourg and Lagrange in the US state of Georgia, will convert the polymers into sustainable biaxially oriented polypropylene films identical to existing food packaging and labels.</t>
  </si>
  <si>
    <t>https://www.plasticstoday.com/packaging/collaboration-will-create-certified-circular-polymers-food-packaging</t>
  </si>
  <si>
    <t>Smartphone recycling and repair essential to reduce emissions: WEF report</t>
  </si>
  <si>
    <t>Business models and consumer behaviour must change as global smartphone sales grow to more than one billion a year, creating around 10% of global electronic waste. A World Economic Forum report argues that smartphone repairs are essential to conserving resources, reducing e-waste and mitigating climate change. Up to 95% of smartphone emissions stem from their production. In 2019 the value of raw materials in e-waste was $57m while electronic recycling rates were 17%. The authors of the report say the average person replaces a smartphone every three years, and extending this to four could eliminate the equivalent of Ireland's annual carbon emissions. Built-in obsolescence is among the biggest challenges to changing business models, with few manufacturers developing smartphones with repair and refurbishment in mind; they often resist providing spare parts to third parties or do so at inflated prices that make it economically unviable. As a result, consumers find it difficult to source reputable and inexpensive repairers.</t>
  </si>
  <si>
    <t>https://www.weforum.org/agenda/2021/07/repair-not-recycle-tackle-ewaste-circular-economy-smartphones/</t>
  </si>
  <si>
    <t>Improving resource efficiency would inject £9bn into UK economy: report</t>
  </si>
  <si>
    <t>Increasing resource efficiency and increased circularity has the potential to create more than 500,000 jobs in the UK, provide a more than £9bn economic boost, and deliver 80% of additional emissions reductions needed to meet the country’s Fifth Carbon Budget, according to a report by NGO Aldersgate Group. The authors highlight concern that the UK's Resources and Waste Strategy is not being acted on, and suggest accelerating the implementation of Extender Producer Responsibility requirements to deliver a rapid improvement in product design. The report also advocates developing eco-design standards and creating lifecycle assessments for products in order to improve resource efficiency, decrease waste and support the development of a circular economy.</t>
  </si>
  <si>
    <t>https://www.edie.net/news/5/Report--Circular-economy-could-deliver-80--of-UK-s-next-carbon-budget/</t>
  </si>
  <si>
    <t>Saarlouis event to focus on renewables and energy efficiency in greater Luxembourg region</t>
  </si>
  <si>
    <t>The Interreg VA Greater Region programme will host a themed day on September 23 focused on renewable energy and energy efficiency in the cross-border region spanning Luxembourg, Belgium, Germany and France. The hybrid online and in-person event at Saarlouis in Germany will highlight key results from energy projects and their added value for the region and its residents. It aims to generate insights for the Interreg VI 2021-2027 programme, whose main goals include the energy transition and efforts to curb climate change.</t>
  </si>
  <si>
    <t>http://www.interreg-gr.eu/de/events/interreg-grossregion-energie/</t>
  </si>
  <si>
    <t>Wallonia offers construction sector grants for circular design</t>
  </si>
  <si>
    <t>The Wallonia regional government is offering grants of up to €60,000 for projects embracing circular design and innovation in the construction sector. The initiative is part of the Belgian region's Circular Wallonia strategy, launched in February to promote a sustainable recovery of the economy and create local jobs, reduce the impact of economic activity on the environment, and minimise dependence on supplies of raw materials and energy.</t>
  </si>
  <si>
    <t>https://www.wallonie.be/fr/demarches/participer-lappel-projets-chantiers-et-services-circulaires</t>
  </si>
  <si>
    <t>https://economiecirculaire.wallonie.be/</t>
  </si>
  <si>
    <t>LSC Engineering launches 2021 awards to encourage sustainable solutions</t>
  </si>
  <si>
    <t>Innovative students focused on sustainable solutions have been invited to enter the LSC Circular and Innovation Awards 2021. The competition, launched by the Luxembourg-based LSC Engineering Group, is seeking entries covering circularity and innovation in fields including structural studies, infrastructure, land use planning and mobility. The competition is open to students who were enrolled in higher or university education including second year BTS, third year bachelor's or master's courses during the 2020-21 academic year, and offers three prizes of between €350 and €1,000. Applications close on October 15.</t>
  </si>
  <si>
    <t>https://www.lsc-group.lu/awards/</t>
  </si>
  <si>
    <t>German start-up raises $1bn to boost product recirculation</t>
  </si>
  <si>
    <t>German electronics rental start-up Grover has raised $1bn to improve accessibility of tech products and extend the lifespan of electronic equipment through refurbishing and recycling to reduce e-waste. The company restores products to as-new condition and recirculates them, and when they reach the end of their usable life, components are recycled or re-used. Since its launch in 2015, Berlin-based Grover has recirculated 475,000 products, equivalent to 1,400 tonnes of e-waste. With the new funding it plans to increase product circulation to 5 million by 2024 and divert 24,000 tonnes of e-waste from landfill. The funding includes an asset-based facility from Fasanara Capital and expansion of a previous Series B funding round from $71m to $100m.</t>
  </si>
  <si>
    <t>https://retailtechinnovationhub.com/home/2021/7/28/grover-raises-1-billion-dollars-to-grow-circular-economy-business</t>
  </si>
  <si>
    <t>https://www.eu-startups.com/2021/07/berlin-based-grover-lands-1-billion-e847-million-to-boost-the-circular-economy-with-its-consumer-tech-subscription/</t>
  </si>
  <si>
    <t>Commission open to proposals for EU’s 2021-27 LIFE programme</t>
  </si>
  <si>
    <t>The European Commission is making more than €580m available through the EU’s 2021-27 LIFE programme, a funding initiative to stimulate environment and climate action. Proposals can be submitted for circular economy and quality of life, nature and biodiversity, climate change mitigation, and adaptation and clean energy transition projects. LIFE will co-finance initiatives in areas including environmental governance, recovering resources from waste, water, air, noise, soil and chemical management, proposed by government organisations, small and large businesses and other stakeholders with close-to-market projects. Finance is also available for initiatives that demonstrate and implement innovation or implement best practice.</t>
  </si>
  <si>
    <t>https://cinea.ec.europa.eu/news/first-life-call-proposals-2021-opened-over-eur-580-million-available-help-realise-your-project_en</t>
  </si>
  <si>
    <t>https://cinea.ec.europa.eu/life/circular-economy-and-quality-life_en</t>
  </si>
  <si>
    <t>Prague targets circular transition leadership and 45% carbon reduction target</t>
  </si>
  <si>
    <t>Prague has positioned itself as a European leader in circular economy policies and initiatives, embedding the principles in daily decision-making processes in order to meet the city’s planning and climate mitigation target of reducing carbon emissions by 45% by 2030. In 2019 the city undertook a Circle Scan analysing material flows, emissions and value generation, and developed action plans to implement new policies for key industries. The city has three RE-USE centres that collect second-hand items and redistribute them, and there are plans to conduct Swap events where citizens can exchange household items, as well as to open a Re-use shopping centre where all items are second-hand or repaired. The city has also addressed its 100,000 tonnes of food and kitchen waste with a pilot project to convert it to biogas used to power waste management trucks.</t>
  </si>
  <si>
    <t>https://www.weforum.org/agenda/2021/07/prague-the-circular-european-capital-you-havent-heard-about-yet/</t>
  </si>
  <si>
    <t>https://cities-today.com/industry/prague-embraces-the-circular-economy/</t>
  </si>
  <si>
    <t>https://www.themayor.eu/en/a/view/prague-reduces-waste-and-applies-the-principles-of-a-circular-economy-8460</t>
  </si>
  <si>
    <t>Competition encourages innovation in producer responsibility schemes: study</t>
  </si>
  <si>
    <t>Extended Producer Responsibility schemes bring increased innovation and higher standards of service and customer satisfaction in a competitive market, according to Berlin climate think-tank adelphi. Its study, commissioned by European Recycling, found that removing barriers to competition and reducing monopolies at all stages of the waste management cycle is the best way to accelerate the transition to circularity. The research also indicates that competition leads to more cost-efficient waste management than monopolistic systems. The authors recommend implementing independent co-ordination bodies to organise and monitor the allocation of collection responsibilities and manage joint activities.</t>
  </si>
  <si>
    <t>https://www.recycling-magazine.com/2021/07/20/study-finds-competition-is-beneficial-to-circular-economy/</t>
  </si>
  <si>
    <t>Fashion entrepreneurs offer innovation to tackle industry waste</t>
  </si>
  <si>
    <t>Luxembourg eco-fashion label Our Choice has launched FISH sandals, footwear made from sea wolf leather sourced from the Scandinavian fishing industry's by-catch. The plastic-free footwear was featured at the Paperjam and Delano Club Golf Tournament. Our Choice, which took part in the Luxinnovation Circular by Design challenge, is a fashion tech start-up specialising in sustainable and circular raw materials. In Finland entrepreneurs are working on innovative solutions to the enormous waste generated by the fashion and textile industries, developing solutions in response to increasing government regulation and consumer demand. Infinited Fiber is using new technology to clean and break down textile waste at molecular level and regenerate it into natural-feeling fibres.</t>
  </si>
  <si>
    <t>https://www.linkedin.com/posts/our-choice_circulareconomy-paperjamopen-luxembourg-activity-6824314495062597633-NAq4</t>
  </si>
  <si>
    <t>https://www.ourchoicefashion.com/about</t>
  </si>
  <si>
    <t>https://www.undp.org/stories/finnish-textile-producers-become-circular-economy-pioneers</t>
  </si>
  <si>
    <t>Multipurpose hall designed for two locations in Dudelange</t>
  </si>
  <si>
    <t>A team of building and planning experts have pooled their talents to design a multipurpose hall that will be constructed on one site and moved to another within a decade. The building, designed for local club activities, will be constructed on Dudelange's Route de Bettembourg next spring, but within eight to 10 years it will be dismantled and relocated to the town's NeiSchmelz brownfield redevelopment eco-district. Experts in architecture, timber construction, civil engineering, building services and sustainability planning contributed to the building design, factoring in land size, location and the topography of both sites, while lighting and airflow have been calibrated to ensure the highest energy efficiency. The modular wooden building will be pre-fabricated in lengths able to fit on a truck and screwed together to ensure ease of construction and dismantling without leaving any waste.</t>
  </si>
  <si>
    <t>https://www.baunetzwissen.de/bim/objekte/kultur-bildung/mehrzweckhalle-in-dudelange-7684802?wt_mc=nlbw.BIM.2021-07.Objekte-Kultur%2FBildung.cid-7684802</t>
  </si>
  <si>
    <t>Switzerland’s third Circular Economy Incubator targets start-ups</t>
  </si>
  <si>
    <t>Applications are open for Switzerland’s third Circular Economy Incubator, a three-month programme for start-ups with circular business models. Organisers are looking for 30 Swiss-based businesses to join the programme, which provides individual mentoring sessions with experienced coaches, access to industry experts, and pitching and networking events. More than 50 businesses have previously taken part in the Circular Economy Transition initiative and more than 75% are still active. Applications for the programme, a collaboration with Impact Hub Switzerland, close on September 10.</t>
  </si>
  <si>
    <t>https://www.moneycab.com/startups/schweizweite-ausschreibung-fuer-early-stage-startups-aus-der-kreislaufwirtschaft-2/</t>
  </si>
  <si>
    <t>Make the world’s waste fashionable for investors, says Goldman</t>
  </si>
  <si>
    <t>With hundreds of millions of tonnes of plastic, electronic and food waste discarded around the world each year, the asset management business of investment bank Goldman Sachs says there are opportunities to expand the appeal of waste management and re-use to investors. Alexis Deladerriere, developed markets equity head at Goldman Sachs Asset Management, says new technologies to convert plastic, clothing and other waste into new products benefit the planet as well as offering profit opportunities.</t>
  </si>
  <si>
    <t>https://e-fundresearch.com/newscenter/211-goldman-sachs-asset-management/artikel/41748-kreislaufwirtschaft-von-muell-zu-mehrwert-auch-im-depot</t>
  </si>
  <si>
    <t>Irish government approves draft circular economy legislation</t>
  </si>
  <si>
    <t>The Irish government has approved a Circular Economy Bill to act as the legal basis for a new Circular Economy Strategy, providing a national policy framework for Ireland’s transition to a circular economy through changes in production and consumption for individuals, businesses and public bodies. The legislation will give local authorities greater powers to clamp down on illegal dumping and encourage prevention of food waste, while providing incentives for sustainable products.</t>
  </si>
  <si>
    <t>https://www.gov.ie/en/publication/89838-circular-economy-bill-2021/</t>
  </si>
  <si>
    <t>https://www.gov.ie/en/press-release/65f5e-new-legislation-to-implement-a-circular-economy/</t>
  </si>
  <si>
    <t>Lego creates new toy brick prototype using PET plastic from bottles</t>
  </si>
  <si>
    <t>Danish toy manufacturer Lego says it has made a breakthrough in the design of its popular bricks with a prototype that uses PET plastic from recycled bottles, following years of testing more than 250 variants of PET and other plastic materials. The latest prototype is the first to meet the company’s strict health and safety requirements combined with the strength and durability to last for decades. Lego says it designs products to remain useful as long as possible, but advanced recycling technology could enable the PET plastic material to be reused again when the bricks reach the end of their life.</t>
  </si>
  <si>
    <t>https://www.fastcompany.com/90648739/lego-just-found-a-way-to-build-its-specialized-bricks-out-of-recycled-plastic</t>
  </si>
  <si>
    <t>https://waste-management-world.com/a/first-prototype-lego-brick-made-from-recycled-plastic</t>
  </si>
  <si>
    <t>IKEA prioritises ease of dismantling in search for circular solutions</t>
  </si>
  <si>
    <t>The company that made assembling flat-packed furniture a global preoccupation says it has been obliged to rethink its approach by incorporating guidelines for disassembly into new designs. IKEA has been seeking innovative solutions to prolong the life of its products, including enhancing consumers' ability to repair, upgrade and move items. However, the company acknowledges that embracing circular design is an evolving process, and it is onto its third version of circular design principles. IKEA says products that use less material are better positioned for circular flows, in tandem with standardising fittings, finishes and sizes.</t>
  </si>
  <si>
    <t>https://medium.com/circulatenews/how-circular-design-guidelines-unlock-organisations-potential-for-change-15b7a4caae10</t>
  </si>
  <si>
    <t>Financial statements need to incorporate long-term sustainability factors: Circle Economy</t>
  </si>
  <si>
    <t>Sustainability and the circular economy are the financial focus of the 2020s and businesses need to find the value of circular impact and integrate it into financial reporting and governance, according to a report by Amsterdam-based Circle Economy, the Royal Netherlands Institute of Chartered Accountants and Invest-NL. The report says that with financial statements currently failing to fully reflect the short- and long-term constraints and impact of non-financial issues such as resource depletion, social inequalities and climate change, different assessment frameworks that consider factors such as employee wellbeing, pollution and scarce materials use are required to measure companies' long-term sustainability.</t>
  </si>
  <si>
    <t>https://www.circle-economy.com/news/future-proofing-businesses-new-white-paper-shows-us-how-to-measure-the-value-of-circular-impact</t>
  </si>
  <si>
    <t>Shift to circular clothing model could boost sector job creation by 25%: Dutch report</t>
  </si>
  <si>
    <t>Transitioning Dutch fast fashion to a circular clothing industry could boost job creation by 25%, according to a report by Circle Economy’s Circular Jobs Initiative. The researchers outline three elements to drive the transition - changing consumption patterns, prioritising reuse and repair, and upscaling textile-to-textile recycling - and say that in addition to the impact on employment, the greatest benefits would come from boosting clothing reuse and repair. To become fully circular the industry needs commitment from the Dutch government, private sector stakeholders, academics and education institutions, the Circular Jobs Initiative says.</t>
  </si>
  <si>
    <t>https://www.circle-economy.com/news/a-fully-circular-clothing-industry-in-the-netherlands-is-possible-and-can-bring-plentiful-employment-benefits</t>
  </si>
  <si>
    <t>UK Exploration fund offers £150,000 incentive for sustainable projects</t>
  </si>
  <si>
    <t>A £150,000 incentive is on offer to UK organisations working on projects to reduce the environmental impact of packaging, batteries and electric waste in the second round of the Exploration Fund, launched by producer compliance scheme Ecosurety. Applications can come from academic institutions, non-profit organisations and the public sector, and cover technical innovation, awareness campaigns, material development and research into system or behavioural change. Ireland’s Environmental Protection Agency has launched the Green Enterprise: Innovation for a Circular Economy fund, a €625,000 initiative targeting enterprises with innovative circular business models.</t>
  </si>
  <si>
    <t>https://www.circularonline.co.uk/news/ecosurety-launches-second-exploration-fund/</t>
  </si>
  <si>
    <t>https://www.circularonline.co.uk/news/epa-announces-e625000-funding-opportunity-for-innovative-irish-businesses-in-the-circular-economy/</t>
  </si>
  <si>
    <t>Circularity 21 conference showcases business shifts including rental furniture and clothing resale</t>
  </si>
  <si>
    <t>Representatives of global businesses such as Apple and Amazon, along with small businesses, start-ups, students and activists, identified new business concepts that may engage better with younger consumers at the GreenBiz Group’s virtual Circularity 21 conference last month. Speakers highlighted a shift toward renting goods and services from traditional ownership models, in sectors ranging from clothing to furniture. Second-hand clothing has emerged as a global business worth $28bn in 2019, stimulating the growth of resale platforms such as Poshmark, Depop, Mercari and TheRealReal, as well as 'recommerce' initiatives from retailers such as Patagonia and COS.</t>
  </si>
  <si>
    <t>https://www.greenbiz.com/article/12-young-circular-economy-innovators</t>
  </si>
  <si>
    <t>https://www.greenbiz.com/article/resale-and-rental-two-circular-consumption-models-endless-possibilities</t>
  </si>
  <si>
    <t>Skills growth crucial for UK waste sector to embrace circular models: report</t>
  </si>
  <si>
    <t>Material and chemical engineering, product design, data and IT are among key skills required by the UK’s waste sector over the next decade, according to a report by the Chartered Institute of Wastes Management. With the resources and waste sector set to be at the heart of initiatives to create a circular economy, the Skills for the Future report highlights the need for skills growth through training, mentoring and development. The report also emphasises the importance of fostering collaboration and building stronger connections and working relationships with specialists in other industries.</t>
  </si>
  <si>
    <t>https://www.circularonline.co.uk/news/report-outlines-key-skills-waste-sector-must-acquire-during-decade-of-change/</t>
  </si>
  <si>
    <t>https://www.circularonline.co.uk/wp-content/uploads/2021/06/CIWM-Presidential-Report-2021.pdf</t>
  </si>
  <si>
    <t>Financial industry executives back call for increased investment in circular transition</t>
  </si>
  <si>
    <t>More than 30 banking and financial services executives whose organisations oversee $18trn in assets under management have backed a report calling on financial institutions, businesses and governments to collaborate on efforts to expand the circular economy sector. According to the report, from the Ellen Macarthur Foundation, investors, banks, and other financial services groups that support businesses to make a circular shift have an opportunity to capitalise on new and better growth opportunities. The authors say investment in funds targeting circular economy initiatives has grown 22 times over the past two years, boosting assets to nearly $7bn last year, and that on average they outperformed category benchmarks by five percentage points in the first half of last year.</t>
  </si>
  <si>
    <t>https://www.assetfinanceinternational.com/index.php/people/thought-leaders/thought-leaders/20278-global-finance-companies-representing-18-trillion-in-assets-back-the-circular-economy</t>
  </si>
  <si>
    <t>US Plastics Pact unveils roadmap to achieve 2025 packaging goal</t>
  </si>
  <si>
    <t>Nearly 100 US organisations have backed a national strategy to ensure all plastic packaging will be reusable, recyclable or compostable by 2025. The Roadmap to 2025 strategy was unveiled by the US Plastics Pact, a consortium of companies across the plastics packaging industry, along with research entities, universities, NGOs, start-ups, and state and local governments.</t>
  </si>
  <si>
    <t>https://waste-management-world.com/a/us-plastics-pact-unveils-national-strategy-to-achieve-2025-circular-economy-goals</t>
  </si>
  <si>
    <t>Peintures Robin tackles construction sector waste paint with loop system</t>
  </si>
  <si>
    <t>Leftover paint from the construction sector can now be reused in new coatings thanks to a project launched by Luxembourg paint supplier Peintures Robin in collaboration with environment-friendly waste management organisation SuperDrecksKëscht. Amid resource shortages and rising costs in the construction sector, the Robin Loop system has so far been used to produce 4,000 litres of fresh paint, reformulated and reconstituted from waste that would otherwise have been incinerated. Currently the Robin Loop paint is only available for commercial customers in white, but other shades are due to be added in the future.</t>
  </si>
  <si>
    <t>https://paperjam.lu/article/peintures-robin-lance-sa-peint</t>
  </si>
  <si>
    <t>https://www.infogreen.lu/beau-succes-pour-la-robin-loop.html</t>
  </si>
  <si>
    <t>Luxembourg partners showcase circular innovations in food waste and construction</t>
  </si>
  <si>
    <t>Three projects funded under the EU's Interreg programme with Luxembourg participation have shown significant progress in developing circular innovations, leveraging cross-border co-operation between private and public partners to develop improved value chains and material cycles. The Bioval project, involving the Luxembourg Institute of Health, has developed green chemistry and biotechnology solutions to generate added-value products from organic waste from the brewing industry; the Digital Deconstruction initiative, involving three Luxembourg-based partners, has designed open-source software to enhance the reuse of material from renovation and demolition projects in the construction sector, including defining a sustainable and economic reuse strategy for the dismantling of the Ettelbrück railway station; and SeRaMCo, in collaboration with the University of Luxembourg, which focuses on replacing primary raw materials in the production of cement and concrete with high-quality recycled material.</t>
  </si>
  <si>
    <t>https://amenagement-territoire.public.lu/fr/actualites/2021/Interreg2.html</t>
  </si>
  <si>
    <t>https://amenagement-territoire.public.lu/dam-assets/fr/grande_region_aff_transfrontalieres/interreg-sdtgr-rekgr/Interreg-Brochure-Environnement-final-draft-29032021.pdf</t>
  </si>
  <si>
    <t>EU should prioritise biomass use to avert supply crunch: study</t>
  </si>
  <si>
    <t>The EU's transition to net zero emissions will cause demand for biomass to exceed supply by between 40% and 70% by 2050, according to a study by Material Economics. The analysis, the first to model the union’s 2050 demand for biomass feedstocks in comparison to realistic supply, underscores the need for urgent action to prioritise exploitation of future resources, focusing on the most valuable uses - where the properties of biomass make it the greatest contributor to a net zero economy, or where other alternatives are not economically viable. The study estimates that a net zero transition with more targeted biomass use is feasible and cost-effective, requiring the effective deployment of alternatives to bioenergy across a wide range of applications, resource efficiency and circular solutions.</t>
  </si>
  <si>
    <t>https://media.sitra.fi/2021/06/28151630/material-economics-eu-biomass-use-in-a-net-zero-economy.pdf</t>
  </si>
  <si>
    <t>Fairtrade Lëtzebuerg launches country’s first FairFashion Lab</t>
  </si>
  <si>
    <t>Non-governmental organisation Fairtrade Lëtzebuerg is launching the first FairFashion Lab with six local artists to offer unique clothing and accessories made from Fairtrade-certified cotton. The collaborative project, part of the Rethink your Clothes awareness campaign and backed by the Department of Development Cooperation and Humanitarian Action of Luxembourg's foreign ministry, seeks to link local design with cotton producers and textile industry employees in Asia and Africa. The artists, Antoine Lesch, Lynn Cosyn, Cathy Thill, Mia Kinsch, Alain Welter and Irina Moons have created unique designs, with a new one to be unveiled reach month and available for pre-order at &lt;a href="https://rethink.lu/collab.html" target="_blank" rel="noopener noreferrer"&gt;fairfashion.rethink.lu&lt;/a&gt;.</t>
  </si>
  <si>
    <t>https://www.wort.lu/de/business/nachhaltige-mode-luxemburg-experimentiert-im-fair-fashion-lab-60dc4e62de135b923624c821</t>
  </si>
  <si>
    <t>Luxembourg government launches Circular Economy Portal</t>
  </si>
  <si>
    <t>Luxembourg's ministries of energy and land use planning, economy, environment, climate and sustainable development, and finance have launched the &lt;a href="https://economie-circulaire.public.lu/en.html" target="_blank" rel="noopener noreferrer"&gt;Circular Economy Portal&lt;/a&gt; to share information about the country's circular economy strategy and practical steps by public and private sector organisations. The portal will be ultimately available in Luxembourgish, French, German and English, and is aimed at individuals, businesses, municipalities and public bodies. The ministries are also planning a circular economy awareness campaign on social media.</t>
  </si>
  <si>
    <t>https://gouvernement.lu/fr/actualites/toutes_actualites/communiques/2021/06-juin/22-lancement-portail-economie-circulaire.html</t>
  </si>
  <si>
    <t>World Circular Economy Forum 2021 to focus on catalysing systemic change</t>
  </si>
  <si>
    <t>The World Circular Economy Forum 2021 will focus on system-level changes to accelerate the transition to a circular economy that is prosperous, inclusive and equitable, highlighting how seizing circular opportunities requires transformational change and collective efforts involving businesses, policymakers and civil society. The event, organised annually by Finnish Innovation Fund Sitra, will be hosted online from Canada from September 13 to 15.</t>
  </si>
  <si>
    <t>https://www.wcef2021.com/about/</t>
  </si>
  <si>
    <t>National Research Fund project explores circular and sustainable regional development</t>
  </si>
  <si>
    <t>Luxembourg's National Research Fund is progressing with its AltFin project to better understand regional economic development at the interface of the circular economy and sustainable finance in France, Germany and Luxembourg, where national and regional initiatives have started to support circular endeavours. The project, which dovetails with the launch of the €250m European Circular Bioeconomy Fund focused exclusively on the bioeconomy and circular bioeconomy in Europe, seeks to develop a new framework of institutional change and key mechanisms and practices to strengthen regional economies and their sustainable development through sustainable finance and alternative economic models.</t>
  </si>
  <si>
    <t>https://www.fnr.lu/projects/regional-approaches-towards-alternative-economies-and-sustainable-finance/</t>
  </si>
  <si>
    <t>https://www.ecbf.vc/eib-announ</t>
  </si>
  <si>
    <t>Luxembourg’s Product Circularity Data Sheet to become ISO standard</t>
  </si>
  <si>
    <t>The International Organization for Standardization plans to make Luxembourg's Product Circularity Data Sheet a future ISO / NP 59040 standard for communicating the circular properties of products. Launched in 2018 by the Economy Ministry as part of a national strategy to promote the data economy and the circular economy, the open-source data sheet describes all circular information relevant to a product, helping consumers and manufacturers make educated choices. Economy minister Franz Fayot says ISO's decision paves the way for Luxembourg's initiative to become an international standard for the declaration, audit and exchange of circular properties of products, supporting a shift towards a future that is more respectful of resources.</t>
  </si>
  <si>
    <t>https://www.infogreen.lu/la-norme-circulaire-du-luxembourg-en-mode-iso.html</t>
  </si>
  <si>
    <t>https://pcds.lu/</t>
  </si>
  <si>
    <t>France to enforce new waste rules for building renovation from next year</t>
  </si>
  <si>
    <t>France will require plans for significant renovation work on buildings to be accompanied by a waste-management analysis detailing how discarded material, fittings and equipment will be handled in order to maximise reuse, recycling and circular solutions for construction waste. The legislation, which imposes similar requirements to those already applicable to demolition work, is due to take into effect next January. It will affect all renovation projects of buildings exceeding 1,000 square metres or structures used for agricultural, industrial or commercial activity that have been used to store or manufacture hazardous substances.</t>
  </si>
  <si>
    <t>https://www.legifrance.gouv.fr/jorf/id/JORFTEXT000043704853</t>
  </si>
  <si>
    <t>https://www.citae.fr/actualites/le-diagnostic-produits-materiaux-et-dechets-obligatoire-au-1er-janvier-2022/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</si>
</sst>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mmmm&quot; &quot;yyyy"/>
  </numFmts>
  <fonts count="16">
    <font>
      <sz val="10"/>
      <color rgb="FF000000"/>
      <name val="Arial"/>
      <scheme val="minor"/>
    </font>
    <font>
      <b/>
      <sz val="11"/>
      <color theme="1"/>
      <name val="Arial"/>
    </font>
    <font>
      <b/>
      <sz val="11"/>
      <color rgb="FF1155CC"/>
      <name val="Arial"/>
    </font>
    <font>
      <sz val="11"/>
      <color rgb="FF1155CC"/>
      <name val="Arial"/>
    </font>
    <font>
      <sz val="11"/>
      <color theme="1"/>
      <name val="Arial"/>
    </font>
    <font>
      <sz val="10"/>
      <color theme="1"/>
      <name val="Arial"/>
    </font>
    <font>
      <u/>
      <sz val="10"/>
      <color rgb="FF0000FF"/>
      <name val="Arial"/>
    </font>
    <font>
      <sz val="10"/>
      <color theme="1"/>
      <name val="Arial"/>
      <scheme val="minor"/>
    </font>
    <font>
      <sz val="10"/>
      <color rgb="FF1155CC"/>
      <name val="Arial"/>
    </font>
    <font>
      <u/>
      <sz val="10"/>
      <color rgb="FF0000FF"/>
      <name val="Arial"/>
    </font>
    <font>
      <u/>
      <sz val="10"/>
      <color rgb="FF1155CC"/>
      <name val="Arial"/>
    </font>
    <font>
      <u/>
      <sz val="10"/>
      <color rgb="FF1155CC"/>
      <name val="Arial"/>
    </font>
    <font>
      <u/>
      <sz val="10"/>
      <color rgb="FF0000FF"/>
      <name val="Arial"/>
    </font>
    <font>
      <u/>
      <sz val="10"/>
      <color rgb="FF0000FF"/>
      <name val="Arial"/>
    </font>
    <font>
      <u/>
      <sz val="10"/>
      <color rgb="FF0000FF"/>
      <name val="&quot;Arial&quot;"/>
    </font>
    <font>
      <b/>
      <sz val="10"/>
      <color theme="1"/>
      <name val="Arial"/>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applyFont="1" applyAlignment="1"/>
    <xf numFmtId="0" fontId="3" fillId="0" borderId="0" xfId="0" applyFont="1" applyAlignment="1">
      <alignment horizontal="left" vertical="top" wrapText="1"/>
    </xf>
    <xf numFmtId="0" fontId="4" fillId="0" borderId="0" xfId="0" applyFont="1" applyAlignment="1">
      <alignment horizontal="left" vertical="top" wrapText="1"/>
    </xf>
    <xf numFmtId="0" fontId="8" fillId="0" borderId="0" xfId="0" applyFont="1" applyAlignment="1">
      <alignment horizontal="left" vertical="top" wrapText="1"/>
    </xf>
    <xf numFmtId="0" fontId="5" fillId="0" borderId="0" xfId="0" applyFont="1" applyAlignment="1">
      <alignment horizontal="left" vertical="top" wrapText="1"/>
    </xf>
    <xf numFmtId="0" fontId="10" fillId="0" borderId="0" xfId="0" applyFont="1" applyAlignment="1">
      <alignment horizontal="left" vertical="top" wrapText="1"/>
    </xf>
    <xf numFmtId="0" fontId="0" fillId="0" borderId="0" xfId="0" applyFont="1" applyAlignment="1">
      <alignment wrapText="1"/>
    </xf>
    <xf numFmtId="16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14" fontId="2"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164" fontId="5"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10" fillId="0" borderId="1" xfId="0" applyFont="1" applyBorder="1" applyAlignment="1">
      <alignment horizontal="left" vertical="top" wrapText="1"/>
    </xf>
    <xf numFmtId="0" fontId="0" fillId="0" borderId="1" xfId="0" applyFont="1" applyBorder="1" applyAlignment="1">
      <alignment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3" fillId="0" borderId="1" xfId="0" applyFont="1" applyBorder="1" applyAlignment="1">
      <alignment vertical="top" wrapText="1"/>
    </xf>
    <xf numFmtId="0" fontId="14"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engineeringnews.co.za/article/afdb-launches-dedicated-circular-economy-fund-2022-06-01/rep_id:4136" TargetMode="External"/><Relationship Id="rId299" Type="http://schemas.openxmlformats.org/officeDocument/2006/relationships/hyperlink" Target="https://www.cc.lu/toute-linformation/publications/detail/barometre-de-leconomie-s2-2021-thematique-economie-circulaire" TargetMode="External"/><Relationship Id="rId21" Type="http://schemas.openxmlformats.org/officeDocument/2006/relationships/hyperlink" Target="https://www.cc.lu/agenda/detail/benelux-circular-economy-business-forum?tx_ccagenda_agenda%5Bmonth%5D=2022-10&amp;cHash=ba578648bc16dde26838fe5907dda256" TargetMode="External"/><Relationship Id="rId63" Type="http://schemas.openxmlformats.org/officeDocument/2006/relationships/hyperlink" Target="https://www.ft.com/content/96cb2dd3-b4cd-4b12-bc72-ff19e40a3b16" TargetMode="External"/><Relationship Id="rId159" Type="http://schemas.openxmlformats.org/officeDocument/2006/relationships/hyperlink" Target="https://techcrunch.com/2022/04/06/grover-grabs-330m-to-double-down-on-the-circular-economy-with-consumer-electronics-subscriptions/" TargetMode="External"/><Relationship Id="rId324" Type="http://schemas.openxmlformats.org/officeDocument/2006/relationships/hyperlink" Target="https://www.circularonline.co.uk/news/plans-for-uks-first-165m-plastic-park-submitted/" TargetMode="External"/><Relationship Id="rId366" Type="http://schemas.openxmlformats.org/officeDocument/2006/relationships/hyperlink" Target="https://www.china-briefing.com/news/chinas-circular-economy-understanding-the-new-five-year-plan/" TargetMode="External"/><Relationship Id="rId170" Type="http://schemas.openxmlformats.org/officeDocument/2006/relationships/hyperlink" Target="https://www.oai.lu/fr/26/accueil/mediatheque/mediatheque/0-mode-news-id-1156/?CC=OK" TargetMode="External"/><Relationship Id="rId226" Type="http://schemas.openxmlformats.org/officeDocument/2006/relationships/hyperlink" Target="https://erhvervsstyrelsen.dk/sites/default/files/2022-01/Looping%20on%20data_0.pdf" TargetMode="External"/><Relationship Id="rId268" Type="http://schemas.openxmlformats.org/officeDocument/2006/relationships/hyperlink" Target="https://www.thirdsector.co.uk/retailer-offers-1m-grants-ideas-will-develop-circular-economy/fundraising/article/1734321" TargetMode="External"/><Relationship Id="rId32" Type="http://schemas.openxmlformats.org/officeDocument/2006/relationships/hyperlink" Target="https://www.nifa.usda.gov/about-nifa/blogs/bioproduct-pilot-program-seeks-boost-economic-development-rural-america" TargetMode="External"/><Relationship Id="rId74" Type="http://schemas.openxmlformats.org/officeDocument/2006/relationships/hyperlink" Target="https://www.insider.co.uk/news/new-law-could-ban-companies-27100204" TargetMode="External"/><Relationship Id="rId128" Type="http://schemas.openxmlformats.org/officeDocument/2006/relationships/hyperlink" Target="https://www.privateequitywire.co.uk/2022/04/22/313949/cycle-capital-and-demeter-hold-first-close-new-circular-innovation-fund" TargetMode="External"/><Relationship Id="rId335" Type="http://schemas.openxmlformats.org/officeDocument/2006/relationships/hyperlink" Target="https://www.climate-kic.org/news/eit-climate-kic-launches-new-series-of-circular-economy-courses/" TargetMode="External"/><Relationship Id="rId377" Type="http://schemas.openxmlformats.org/officeDocument/2006/relationships/hyperlink" Target="https://retailtechinnovationhub.com/home/2021/7/28/grover-raises-1-billion-dollars-to-grow-circular-economy-business" TargetMode="External"/><Relationship Id="rId5" Type="http://schemas.openxmlformats.org/officeDocument/2006/relationships/hyperlink" Target="https://www.eu-startups.com/2022/09/finnish-startup-rentle-is-helping-retailers-go-circular-and-has-just-scored-e3-8-million/" TargetMode="External"/><Relationship Id="rId181" Type="http://schemas.openxmlformats.org/officeDocument/2006/relationships/hyperlink" Target="https://www.circularonline.co.uk/news/30-million-boost-for-plastic-packaging-reuse-and-recycling-innovations/" TargetMode="External"/><Relationship Id="rId237" Type="http://schemas.openxmlformats.org/officeDocument/2006/relationships/hyperlink" Target="https://www.bsr.org/reports/BSR-Keeping-Workers-in-the-Loop.pdf" TargetMode="External"/><Relationship Id="rId402" Type="http://schemas.openxmlformats.org/officeDocument/2006/relationships/hyperlink" Target="https://www.circularonline.co.uk/news/report-outlines-key-skills-waste-sector-must-acquire-during-decade-of-change/" TargetMode="External"/><Relationship Id="rId279" Type="http://schemas.openxmlformats.org/officeDocument/2006/relationships/hyperlink" Target="https://mteess.gouvernement.lu/fr/actualites.gouvernement%2Bfr%2Bactualites%2Btoutes_actualites%2Bcommuniques%2B2021%2B11-novembre%2B17-fayot-economie-circulaire.html" TargetMode="External"/><Relationship Id="rId43" Type="http://schemas.openxmlformats.org/officeDocument/2006/relationships/hyperlink" Target="https://www.circulatecapital.com/news" TargetMode="External"/><Relationship Id="rId139" Type="http://schemas.openxmlformats.org/officeDocument/2006/relationships/hyperlink" Target="https://www.hoho-wien.at/en/" TargetMode="External"/><Relationship Id="rId290" Type="http://schemas.openxmlformats.org/officeDocument/2006/relationships/hyperlink" Target="https://www.austella.com/news/launches-valari-platform/" TargetMode="External"/><Relationship Id="rId304" Type="http://schemas.openxmlformats.org/officeDocument/2006/relationships/hyperlink" Target="https://www.innovatorsmag.com/boost-for-social-impact-innovators/" TargetMode="External"/><Relationship Id="rId346" Type="http://schemas.openxmlformats.org/officeDocument/2006/relationships/hyperlink" Target="https://www.eu-startups.com/2021/08/austrian-scaleup-refurbed-snaps-up-e45-4-million-to-grow-its-refurbished-electronics-marketplace/" TargetMode="External"/><Relationship Id="rId388" Type="http://schemas.openxmlformats.org/officeDocument/2006/relationships/hyperlink" Target="https://www.baunetzwissen.de/bim/objekte/kultur-bildung/mehrzweckhalle-in-dudelange-7684802?wt_mc=nlbw.BIM.2021-07.Objekte-Kultur%2FBildung.cid-7684802" TargetMode="External"/><Relationship Id="rId85" Type="http://schemas.openxmlformats.org/officeDocument/2006/relationships/hyperlink" Target="https://www.vodafone.com/news/planet/circular-economy-plan" TargetMode="External"/><Relationship Id="rId150" Type="http://schemas.openxmlformats.org/officeDocument/2006/relationships/hyperlink" Target="https://www.rflex.lu/en/home/" TargetMode="External"/><Relationship Id="rId192" Type="http://schemas.openxmlformats.org/officeDocument/2006/relationships/hyperlink" Target="https://african.business/2022/03/apo-newsfeed/un-environment-assembly-circular-economy-gains-traction-as-morocco-plans-to-join-regional-alliance/" TargetMode="External"/><Relationship Id="rId206" Type="http://schemas.openxmlformats.org/officeDocument/2006/relationships/hyperlink" Target="https://www.onperfekt.lu/" TargetMode="External"/><Relationship Id="rId413" Type="http://schemas.openxmlformats.org/officeDocument/2006/relationships/hyperlink" Target="https://www.wcef2021.com/about/" TargetMode="External"/><Relationship Id="rId248" Type="http://schemas.openxmlformats.org/officeDocument/2006/relationships/hyperlink" Target="https://www.fintechfutures.com/2022/01/fintech-start-up-twig-raises-35m-to-support-web-3-0-plans/" TargetMode="External"/><Relationship Id="rId12" Type="http://schemas.openxmlformats.org/officeDocument/2006/relationships/hyperlink" Target="https://www.morganlewis.com/blogs/asprescribed/2022/09/executive-order-outlines-new-federal-biotechnologymanufacturing-goals" TargetMode="External"/><Relationship Id="rId108" Type="http://schemas.openxmlformats.org/officeDocument/2006/relationships/hyperlink" Target="https://www.expo2025.or.jp/en/overview/" TargetMode="External"/><Relationship Id="rId315" Type="http://schemas.openxmlformats.org/officeDocument/2006/relationships/hyperlink" Target="https://www.zhaw.ch/en/lsfm/institutes-centres/iunr/ecological-engineering/ecotechnology/wastewater/kreis-haus/" TargetMode="External"/><Relationship Id="rId357" Type="http://schemas.openxmlformats.org/officeDocument/2006/relationships/hyperlink" Target="https://eu.app.swapcard.com/event/eu-regions-week/plannings/RXZlbnRWaWV3XzE3NjcwOQ%3D%3D?search=" TargetMode="External"/><Relationship Id="rId54" Type="http://schemas.openxmlformats.org/officeDocument/2006/relationships/hyperlink" Target="https://www.circularhotspot.nrw/" TargetMode="External"/><Relationship Id="rId96" Type="http://schemas.openxmlformats.org/officeDocument/2006/relationships/hyperlink" Target="https://blackbearcarbon.com/" TargetMode="External"/><Relationship Id="rId161" Type="http://schemas.openxmlformats.org/officeDocument/2006/relationships/hyperlink" Target="https://sustainabilitymag.com/sustainability/saps-stephen-jamieson-on-circular-economy-implementation" TargetMode="External"/><Relationship Id="rId217" Type="http://schemas.openxmlformats.org/officeDocument/2006/relationships/hyperlink" Target="https://www.circle-economy.com/resources/financial-accounting-in-the-circular-economy-redefining-value-impact-and-risk-to-accelerate-the-circular-transition" TargetMode="External"/><Relationship Id="rId399" Type="http://schemas.openxmlformats.org/officeDocument/2006/relationships/hyperlink" Target="https://www.circularonline.co.uk/news/epa-announces-e625000-funding-opportunity-for-innovative-irish-businesses-in-the-circular-economy/" TargetMode="External"/><Relationship Id="rId259" Type="http://schemas.openxmlformats.org/officeDocument/2006/relationships/hyperlink" Target="https://www.ukgbc.org/ukgbc-work/net-zero-whole-life-roadmap-for-the-built-environment/" TargetMode="External"/><Relationship Id="rId23" Type="http://schemas.openxmlformats.org/officeDocument/2006/relationships/hyperlink" Target="https://meco.gouvernement.lu/fr/actualites.gouvernement%2Bfr%2Bactualites%2Btoutes_actualites%2Bcommuniques%2B2022%2B08-aout%2B12-economie-partage.html" TargetMode="External"/><Relationship Id="rId119" Type="http://schemas.openxmlformats.org/officeDocument/2006/relationships/hyperlink" Target="https://www.closedlooppartners.com/closed-loop-partners-private-equity-fund-announces-final-close-managing-assets-in-excess-of-200m/" TargetMode="External"/><Relationship Id="rId270" Type="http://schemas.openxmlformats.org/officeDocument/2006/relationships/hyperlink" Target="https://www.assetfinanceinternational.com/index.php/equipment-finance/news-emea/emea-articles/20699-dll-and-european-investment-bank-to-plough-370-million-into-benelux-green-finance" TargetMode="External"/><Relationship Id="rId326" Type="http://schemas.openxmlformats.org/officeDocument/2006/relationships/hyperlink" Target="https://www.youtube.com/watch?v=ulD3pJLQZdw" TargetMode="External"/><Relationship Id="rId65" Type="http://schemas.openxmlformats.org/officeDocument/2006/relationships/hyperlink" Target="https://www.infogreen.lu/en-route-pour-les-solutions-du-futur.html" TargetMode="External"/><Relationship Id="rId130" Type="http://schemas.openxmlformats.org/officeDocument/2006/relationships/hyperlink" Target="https://www.edie.net/amazon-and-virgin-celebrate-milestones-on-sustainable-start-up-accelerator-schemes/" TargetMode="External"/><Relationship Id="rId368" Type="http://schemas.openxmlformats.org/officeDocument/2006/relationships/hyperlink" Target="https://www.ft.com/content/e88e00e3-0a0c-469a-986b-1ffda60b6aee" TargetMode="External"/><Relationship Id="rId172" Type="http://schemas.openxmlformats.org/officeDocument/2006/relationships/hyperlink" Target="https://sustainablebiz.ca/canada-launches-call-for-industrial-net-zero-projects/" TargetMode="External"/><Relationship Id="rId228" Type="http://schemas.openxmlformats.org/officeDocument/2006/relationships/hyperlink" Target="https://www.circularglasgow.com/circular-economy-net-zero-report-glasgow/" TargetMode="External"/><Relationship Id="rId281" Type="http://schemas.openxmlformats.org/officeDocument/2006/relationships/hyperlink" Target="https://pmp.b2g.etat.lu/app.php/consultation/523390?orgAcronyme=t5y" TargetMode="External"/><Relationship Id="rId337" Type="http://schemas.openxmlformats.org/officeDocument/2006/relationships/hyperlink" Target="https://searchsap.techtarget.com/feature/How-does-SAP-intend-to-support-a-circular-economy" TargetMode="External"/><Relationship Id="rId34" Type="http://schemas.openxmlformats.org/officeDocument/2006/relationships/hyperlink" Target="https://www.baunetzwissen.de/beton/tipps/forschung/von-der-hauswand-zur-bruecke-8010697?wt_mc=nlbw.Beton.2022-09.Tipps-Forschung.cid-8010697&amp;context=3201" TargetMode="External"/><Relationship Id="rId76" Type="http://schemas.openxmlformats.org/officeDocument/2006/relationships/hyperlink" Target="https://www.theguardian.com/environment/2022/jun/20/canada-ban-single-use-plastics" TargetMode="External"/><Relationship Id="rId141" Type="http://schemas.openxmlformats.org/officeDocument/2006/relationships/hyperlink" Target="https://link.springer.com/article/10.1007/s43615-022-00165-x" TargetMode="External"/><Relationship Id="rId379" Type="http://schemas.openxmlformats.org/officeDocument/2006/relationships/hyperlink" Target="https://cinea.ec.europa.eu/news/first-life-call-proposals-2021-opened-over-eur-580-million-available-help-realise-your-project_en" TargetMode="External"/><Relationship Id="rId7" Type="http://schemas.openxmlformats.org/officeDocument/2006/relationships/hyperlink" Target="https://www.pioneerspost.com/news-views/20220907/circular-economy-fund-investments-rocket-2021-new-report" TargetMode="External"/><Relationship Id="rId183" Type="http://schemas.openxmlformats.org/officeDocument/2006/relationships/hyperlink" Target="https://hollandcircularhotspot.nl/wp-content/uploads/2022/01/NL-Branding-Circular-Infrastructure.pdf" TargetMode="External"/><Relationship Id="rId239" Type="http://schemas.openxmlformats.org/officeDocument/2006/relationships/hyperlink" Target="https://www.ecologie.gouv.fr/loi-anti-gaspillage-economie-circulaire-0" TargetMode="External"/><Relationship Id="rId390" Type="http://schemas.openxmlformats.org/officeDocument/2006/relationships/hyperlink" Target="https://e-fundresearch.com/newscenter/211-goldman-sachs-asset-management/artikel/41748-kreislaufwirtschaft-von-muell-zu-mehrwert-auch-im-depot" TargetMode="External"/><Relationship Id="rId404" Type="http://schemas.openxmlformats.org/officeDocument/2006/relationships/hyperlink" Target="https://www.assetfinanceinternational.com/index.php/people/thought-leaders/thought-leaders/20278-global-finance-companies-representing-18-trillion-in-assets-back-the-circular-economy" TargetMode="External"/><Relationship Id="rId250" Type="http://schemas.openxmlformats.org/officeDocument/2006/relationships/hyperlink" Target="https://waste-management-world.com/a/hzi-and-carbonfree-develop-technology-for-energy-from-waste" TargetMode="External"/><Relationship Id="rId292" Type="http://schemas.openxmlformats.org/officeDocument/2006/relationships/hyperlink" Target="https://cadasta.org/" TargetMode="External"/><Relationship Id="rId306" Type="http://schemas.openxmlformats.org/officeDocument/2006/relationships/hyperlink" Target="https://www.lematin.ch/story/offensive-pour-leconomie-circulaire-a-berne-339378416803" TargetMode="External"/><Relationship Id="rId45" Type="http://schemas.openxmlformats.org/officeDocument/2006/relationships/hyperlink" Target="https://www.canplastics.com/canplastics/feds-consulting-on-new-rules-for-recyclability-and-composting-to-reduce-plastic-waste/1003459171/" TargetMode="External"/><Relationship Id="rId87" Type="http://schemas.openxmlformats.org/officeDocument/2006/relationships/hyperlink" Target="https://ex-tax.com/taxshift/https:/ex-tax.com/wp-content/uploads/2022/06/Press-release-The-Extax-Project-on-The-Tax-Shift-2-June-2022.pdf" TargetMode="External"/><Relationship Id="rId110" Type="http://schemas.openxmlformats.org/officeDocument/2006/relationships/hyperlink" Target="https://www.recyclingtoday.com/article/new-york-approves-digital-right-to-repair/" TargetMode="External"/><Relationship Id="rId348" Type="http://schemas.openxmlformats.org/officeDocument/2006/relationships/hyperlink" Target="https://sofiesgroup.com/en/news/circular-economy-for-europe-bridging-the-gap-between-policy-and-implementation/" TargetMode="External"/><Relationship Id="rId152" Type="http://schemas.openxmlformats.org/officeDocument/2006/relationships/hyperlink" Target="https://research.chalmers.se/publication/527017/file/527017_Fulltext.pdf" TargetMode="External"/><Relationship Id="rId194" Type="http://schemas.openxmlformats.org/officeDocument/2006/relationships/hyperlink" Target="https://techcrunch.com/2022/02/14/singapore-based-reebelo-raises-20m-to-save-pre-owned-devices-from-landfills/?guccounter=1&amp;guce_referrer=aHR0cHM6Ly93d3cuZ29vZ2xlLmNvbS8&amp;guce_referrer_sig=AQAAAM9jRHxnE4Yjgmw8Tt7KuIQ2L3xHrhcmmrsfjkUxMFe6RR1zZ89JaytOqA06wTaJabO25uFReNDjIq5T4M9uTMxqIUrAKES7p5BMsZ4NWozGyRSOcySGeBI_AaU7rzOQ_GnLQSnJ4Xqm347r8gpGr3j9GB6B_fHOAmozauCl4LFZ" TargetMode="External"/><Relationship Id="rId208" Type="http://schemas.openxmlformats.org/officeDocument/2006/relationships/hyperlink" Target="https://www.dhl.com/content/dam/dhl/global/core/documents/pdf/DHL_Delivering_on_Circularity_White_Paper_2022.pdf" TargetMode="External"/><Relationship Id="rId415" Type="http://schemas.openxmlformats.org/officeDocument/2006/relationships/hyperlink" Target="https://www.ecbf.vc/eib-announ" TargetMode="External"/><Relationship Id="rId261" Type="http://schemas.openxmlformats.org/officeDocument/2006/relationships/hyperlink" Target="https://www.muenchen.de/rathaus/Stadtverwaltung/Referat-fuer-Stadtplanung-und-Bauordnung/Projekte/Bayernkaserne.html" TargetMode="External"/><Relationship Id="rId14" Type="http://schemas.openxmlformats.org/officeDocument/2006/relationships/hyperlink" Target="https://www.e-holzhaff.lu/fr/produits" TargetMode="External"/><Relationship Id="rId56" Type="http://schemas.openxmlformats.org/officeDocument/2006/relationships/hyperlink" Target="https://secondhand4kids.eu/" TargetMode="External"/><Relationship Id="rId317" Type="http://schemas.openxmlformats.org/officeDocument/2006/relationships/hyperlink" Target="https://cityloops.eu/" TargetMode="External"/><Relationship Id="rId359" Type="http://schemas.openxmlformats.org/officeDocument/2006/relationships/hyperlink" Target="https://www.euronews.com/green/2021/07/28/watch-uk-hairdressers-are-creating-a-circular-economy-out-of-old-hair" TargetMode="External"/><Relationship Id="rId98" Type="http://schemas.openxmlformats.org/officeDocument/2006/relationships/hyperlink" Target="https://techmonitor.ai/leadership/sustainability/circular-economy-it-cisco-cgi" TargetMode="External"/><Relationship Id="rId121" Type="http://schemas.openxmlformats.org/officeDocument/2006/relationships/hyperlink" Target="https://www.weforum.org/agenda/2022/05/why-the-circular-economy-is-the-business-opportunity-of-our-time/" TargetMode="External"/><Relationship Id="rId163" Type="http://schemas.openxmlformats.org/officeDocument/2006/relationships/hyperlink" Target="https://www.circularonline.co.uk/news/report-widescale-shift-to-circular-economy-needed-for-nhs-to-meet-2040-net-zero-goal/" TargetMode="External"/><Relationship Id="rId219" Type="http://schemas.openxmlformats.org/officeDocument/2006/relationships/hyperlink" Target="https://circulareconomy.europa.eu/platform/en/news-and-events/all-news/save-date-2022-circular-economy-stakeholder-conference" TargetMode="External"/><Relationship Id="rId370" Type="http://schemas.openxmlformats.org/officeDocument/2006/relationships/hyperlink" Target="https://www.plasticstoday.com/packaging/collaboration-will-create-certified-circular-polymers-food-packaging" TargetMode="External"/><Relationship Id="rId230" Type="http://schemas.openxmlformats.org/officeDocument/2006/relationships/hyperlink" Target="https://www.infogreen.lu/construire-differemment-et-durablement.html" TargetMode="External"/><Relationship Id="rId25" Type="http://schemas.openxmlformats.org/officeDocument/2006/relationships/hyperlink" Target="https://www.closedlooppartners.com/how-the-inflation-reduction-act-will-accelerate-the-case-for-investing-in-the-circular-economy-in-the-united-states/" TargetMode="External"/><Relationship Id="rId67" Type="http://schemas.openxmlformats.org/officeDocument/2006/relationships/hyperlink" Target="https://www.youngplanet.com/circulated" TargetMode="External"/><Relationship Id="rId272" Type="http://schemas.openxmlformats.org/officeDocument/2006/relationships/hyperlink" Target="https://static1.squarespace.com/static/5a635c7ed7bdcecfbe7bde00/t/5f76ccf55053ec00ece528dc/1601621237558/201001_PeelPioneers_Press+Release+ENG_DEF%5B1076%5D.pdf" TargetMode="External"/><Relationship Id="rId328" Type="http://schemas.openxmlformats.org/officeDocument/2006/relationships/hyperlink" Target="https://www.infogreen.lu/la-mode-ethique-durable-et-locale-au-royal-hamilius.html" TargetMode="External"/><Relationship Id="rId132" Type="http://schemas.openxmlformats.org/officeDocument/2006/relationships/hyperlink" Target="https://www.gov.uk/government/publications/digital-waste-tracking-service/mandatory-digital-waste-tracking" TargetMode="External"/><Relationship Id="rId174" Type="http://schemas.openxmlformats.org/officeDocument/2006/relationships/hyperlink" Target="https://www.bcbl.be/events/detail/?tx_ttnews%5BbackPid%5D=5&amp;tx_ttnews%5Btt_news%5D=560" TargetMode="External"/><Relationship Id="rId381" Type="http://schemas.openxmlformats.org/officeDocument/2006/relationships/hyperlink" Target="https://www.weforum.org/agenda/2021/07/prague-the-circular-european-capital-you-havent-heard-about-yet/" TargetMode="External"/><Relationship Id="rId241" Type="http://schemas.openxmlformats.org/officeDocument/2006/relationships/hyperlink" Target="https://www.feb.be/globalassets/actiedomeinen/ethiek--maatschappelijke-verantwoordelijkheid/duurzame-ontwikkeling/federaal-actieplan-lijst-concrete-maatregelen-op-voor-de-circulaire-transitie/paf-16-dec-2021_fr-clean.pdf" TargetMode="External"/><Relationship Id="rId36" Type="http://schemas.openxmlformats.org/officeDocument/2006/relationships/hyperlink" Target="https://emf.thirdlight.com/link/izic4bu7cgvx-lsujr5/@/preview/1?o" TargetMode="External"/><Relationship Id="rId283" Type="http://schemas.openxmlformats.org/officeDocument/2006/relationships/hyperlink" Target="http://themud.eu/" TargetMode="External"/><Relationship Id="rId339" Type="http://schemas.openxmlformats.org/officeDocument/2006/relationships/hyperlink" Target="https://www.wbcsd.org/Programs/Circular-Economy/News/DNV-Viewpoint-survey-Circular-Economy.-How-are-companies-transitioning" TargetMode="External"/><Relationship Id="rId78" Type="http://schemas.openxmlformats.org/officeDocument/2006/relationships/hyperlink" Target="https://theconversation.com/packaging-generates-a-lot-of-waste-now-maine-and-oregon-want-manufacturers-to-foot-the-bill-for-getting-rid-of-it-165517" TargetMode="External"/><Relationship Id="rId101" Type="http://schemas.openxmlformats.org/officeDocument/2006/relationships/hyperlink" Target="https://www.weforum.org/videos/this-start-up-gives-clothes-a-digital-id-to-help-the-planet" TargetMode="External"/><Relationship Id="rId143" Type="http://schemas.openxmlformats.org/officeDocument/2006/relationships/hyperlink" Target="https://www.nist.gov/blogs/taking-measure/your-old-clothes-can-come-full-circle-textile-recycling" TargetMode="External"/><Relationship Id="rId185" Type="http://schemas.openxmlformats.org/officeDocument/2006/relationships/hyperlink" Target="https://ec.europa.eu/commission/presscorner/detail/en/SPEECH_22_1482" TargetMode="External"/><Relationship Id="rId350" Type="http://schemas.openxmlformats.org/officeDocument/2006/relationships/hyperlink" Target="https://ellenmacarthurfoundation.org/news/groupe-renault-and-solvay-collaborate-to-create-a-circular-economy-for-ev" TargetMode="External"/><Relationship Id="rId406" Type="http://schemas.openxmlformats.org/officeDocument/2006/relationships/hyperlink" Target="https://paperjam.lu/article/peintures-robin-lance-sa-peint" TargetMode="External"/><Relationship Id="rId9" Type="http://schemas.openxmlformats.org/officeDocument/2006/relationships/hyperlink" Target="https://www.sei.org/wp-content/uploads/2022/09/circular-economy-urban-policymakers.pdf" TargetMode="External"/><Relationship Id="rId210" Type="http://schemas.openxmlformats.org/officeDocument/2006/relationships/hyperlink" Target="https://www.espon.eu/topics-policy/publications/policy-brief-territorial-approach-transitioning-towards-circular-economy" TargetMode="External"/><Relationship Id="rId392" Type="http://schemas.openxmlformats.org/officeDocument/2006/relationships/hyperlink" Target="https://www.gov.ie/en/press-release/65f5e-new-legislation-to-implement-a-circular-economy/" TargetMode="External"/><Relationship Id="rId252" Type="http://schemas.openxmlformats.org/officeDocument/2006/relationships/hyperlink" Target="https://www.closedlooppartners.com/winners-of-the-reusies-announced-by-upstream-and-closed-loop-partners/" TargetMode="External"/><Relationship Id="rId294" Type="http://schemas.openxmlformats.org/officeDocument/2006/relationships/hyperlink" Target="https://www.businesswire.com/news/home/20211104005805/en/Circular-Economy-Innovators-Mattereum-Announce-Blockchain-Powered-Marketplace-for-Net-Zero-Physical-Goods-and-Services" TargetMode="External"/><Relationship Id="rId308" Type="http://schemas.openxmlformats.org/officeDocument/2006/relationships/hyperlink" Target="https://www.euractiv.com/section/circular-economy/news/eleven-european-countries-call-for-ambitious-measures-to-tackle-waste-in-textiles/" TargetMode="External"/><Relationship Id="rId47" Type="http://schemas.openxmlformats.org/officeDocument/2006/relationships/hyperlink" Target="https://www.greenqueen.com.hk/wunderkern-stone-fruit-pit-vegan-ice-cream-food-waste/" TargetMode="External"/><Relationship Id="rId89" Type="http://schemas.openxmlformats.org/officeDocument/2006/relationships/hyperlink" Target="https://www.archdaily.com/958366/the-voxel-quarantine-cabin-valldaura-labs" TargetMode="External"/><Relationship Id="rId112" Type="http://schemas.openxmlformats.org/officeDocument/2006/relationships/hyperlink" Target="https://www.weforum.org/videos/davos-annual-meeting-2022-changing-the-game-for-circular-innovation-english-f13193adf6" TargetMode="External"/><Relationship Id="rId154" Type="http://schemas.openxmlformats.org/officeDocument/2006/relationships/hyperlink" Target="https://www.nature.com/articles/d41586-022-00807-y" TargetMode="External"/><Relationship Id="rId361" Type="http://schemas.openxmlformats.org/officeDocument/2006/relationships/hyperlink" Target="https://www.capillum.fr/" TargetMode="External"/><Relationship Id="rId196" Type="http://schemas.openxmlformats.org/officeDocument/2006/relationships/hyperlink" Target="https://www.refurbed.at/?_ga=2.171478565.460826347.1647349110-564550816.1647349110" TargetMode="External"/><Relationship Id="rId417" Type="http://schemas.openxmlformats.org/officeDocument/2006/relationships/hyperlink" Target="https://pcds.lu/" TargetMode="External"/><Relationship Id="rId16" Type="http://schemas.openxmlformats.org/officeDocument/2006/relationships/hyperlink" Target="https://www.yarnsandfibers.com/news/textile-news/new-eu-cisutac-project-to-support-circular-textiles/" TargetMode="External"/><Relationship Id="rId221" Type="http://schemas.openxmlformats.org/officeDocument/2006/relationships/hyperlink" Target="https://viable.earth/sustainable-fashion/german-startup-develops-plastic-free-alt-leather-from-hemp-waste/" TargetMode="External"/><Relationship Id="rId263" Type="http://schemas.openxmlformats.org/officeDocument/2006/relationships/hyperlink" Target="https://www.gov.scot/news/towards-a-circular-economy/" TargetMode="External"/><Relationship Id="rId319" Type="http://schemas.openxmlformats.org/officeDocument/2006/relationships/hyperlink" Target="https://www.medicalplasticsnews.com/news/medical-plastics-sustainability-news/engel-austria-scoops-state-environmental-prize-2021/" TargetMode="External"/><Relationship Id="rId58" Type="http://schemas.openxmlformats.org/officeDocument/2006/relationships/hyperlink" Target="https://thefutureeconomy.ca/op-eds/franz-fayot-luxembourg-government-canada-luxembourg-cooperation-innovating-future-economy/" TargetMode="External"/><Relationship Id="rId123" Type="http://schemas.openxmlformats.org/officeDocument/2006/relationships/hyperlink" Target="https://www.ien.eu/article/hannover-messe-2022-ensuring-security-of-supply-and-growth-in-a-dynamically-changing-world-while-c/" TargetMode="External"/><Relationship Id="rId330" Type="http://schemas.openxmlformats.org/officeDocument/2006/relationships/hyperlink" Target="https://www.gouvernement.fr/economie-circulaire-370-m-d-eu-pour-soutenir-l-innovation" TargetMode="External"/><Relationship Id="rId165" Type="http://schemas.openxmlformats.org/officeDocument/2006/relationships/hyperlink" Target="https://ec.europa.eu/commission/presscorner/detail/en/ip_22_2013" TargetMode="External"/><Relationship Id="rId372" Type="http://schemas.openxmlformats.org/officeDocument/2006/relationships/hyperlink" Target="https://www.edie.net/news/5/Report--Circular-economy-could-deliver-80--of-UK-s-next-carbon-budget/" TargetMode="External"/><Relationship Id="rId232" Type="http://schemas.openxmlformats.org/officeDocument/2006/relationships/hyperlink" Target="https://www.edie.net/news/5/Chanel-launches-first-refillable-beauty-products-as-part-of-new-low-packaging-range/" TargetMode="External"/><Relationship Id="rId274" Type="http://schemas.openxmlformats.org/officeDocument/2006/relationships/hyperlink" Target="https://technationcanada.ca/en/news/city-of-guelph-carbon-credit-innovation-challenge/" TargetMode="External"/><Relationship Id="rId27" Type="http://schemas.openxmlformats.org/officeDocument/2006/relationships/hyperlink" Target="https://www.japantimes.co.jp/news/2022/08/27/business/japan-circular-economy-expansion/" TargetMode="External"/><Relationship Id="rId69" Type="http://schemas.openxmlformats.org/officeDocument/2006/relationships/hyperlink" Target="https://www.science-et-vie.com/technos-et-futur/vivatech-2022-top-5-start-ups-greentech-89035.html" TargetMode="External"/><Relationship Id="rId134" Type="http://schemas.openxmlformats.org/officeDocument/2006/relationships/hyperlink" Target="https://environnement.public.lu/fr/actualites/2022/04/paquet-economie-circulaire.html" TargetMode="External"/><Relationship Id="rId80" Type="http://schemas.openxmlformats.org/officeDocument/2006/relationships/hyperlink" Target="https://www.algebris.com/press/algebris-green-transition-fund-closes-first-fundraising-round-at-e200m/" TargetMode="External"/><Relationship Id="rId176" Type="http://schemas.openxmlformats.org/officeDocument/2006/relationships/hyperlink" Target="https://theinnovator.news/interview-of-the-week-maayke-aimee-damen-world-business-council-for-sustainable-development/" TargetMode="External"/><Relationship Id="rId341" Type="http://schemas.openxmlformats.org/officeDocument/2006/relationships/hyperlink" Target="https://www.wired.co.uk/article/rent-second-hand-clothes" TargetMode="External"/><Relationship Id="rId383" Type="http://schemas.openxmlformats.org/officeDocument/2006/relationships/hyperlink" Target="https://www.themayor.eu/en/a/view/prague-reduces-waste-and-applies-the-principles-of-a-circular-economy-8460" TargetMode="External"/><Relationship Id="rId201" Type="http://schemas.openxmlformats.org/officeDocument/2006/relationships/hyperlink" Target="https://www.bi0n.eu/news/poured-earth-an-alternative-to-cement-concrete-" TargetMode="External"/><Relationship Id="rId222" Type="http://schemas.openxmlformats.org/officeDocument/2006/relationships/hyperlink" Target="https://fashionunited.uk/news/business/new-digital-platform-aims-to-bring-circular-fashion-to-shopping-experiences/2022020461125" TargetMode="External"/><Relationship Id="rId243" Type="http://schemas.openxmlformats.org/officeDocument/2006/relationships/hyperlink" Target="https://www.foodnavigator.com/Article/2022/01/05/ReGrained-innovating-in-upcycled-food-for-grains-that-deliver-nutritional-benefits" TargetMode="External"/><Relationship Id="rId264" Type="http://schemas.openxmlformats.org/officeDocument/2006/relationships/hyperlink" Target="https://www.cca-reports.ca/wp-content/uploads/2021/11/Turning-Point_digital.pdf" TargetMode="External"/><Relationship Id="rId285" Type="http://schemas.openxmlformats.org/officeDocument/2006/relationships/hyperlink" Target="https://en.media.renaultgroup.com/news/in-seville-renault-group-sets-up-a-refactory-for-its-activities-in-spain-5b4f-989c5.html" TargetMode="External"/><Relationship Id="rId17" Type="http://schemas.openxmlformats.org/officeDocument/2006/relationships/hyperlink" Target="https://www.cisutac.eu/" TargetMode="External"/><Relationship Id="rId38" Type="http://schemas.openxmlformats.org/officeDocument/2006/relationships/hyperlink" Target="https://www.circuit-project.eu/about-circuithttps:/iceberg-project.eu" TargetMode="External"/><Relationship Id="rId59" Type="http://schemas.openxmlformats.org/officeDocument/2006/relationships/hyperlink" Target="https://www.infogreen.lu/trois-modules-pour-des-communes-circulaires.html" TargetMode="External"/><Relationship Id="rId103" Type="http://schemas.openxmlformats.org/officeDocument/2006/relationships/hyperlink" Target="https://www.infogreen.lu/symbiosis-un-concept-urbain-circulaire.html" TargetMode="External"/><Relationship Id="rId124" Type="http://schemas.openxmlformats.org/officeDocument/2006/relationships/hyperlink" Target="https://www.newswise.com/articles/hannover-messe-2022-digitalization-and-sustainability-considered-in-one-context" TargetMode="External"/><Relationship Id="rId310" Type="http://schemas.openxmlformats.org/officeDocument/2006/relationships/hyperlink" Target="https://infrachain.com/infrachain-summit-2021-showcases-the-use-of-blockchain-in-the-real-economy/" TargetMode="External"/><Relationship Id="rId70" Type="http://schemas.openxmlformats.org/officeDocument/2006/relationships/hyperlink" Target="https://vivatechnology.com/" TargetMode="External"/><Relationship Id="rId91" Type="http://schemas.openxmlformats.org/officeDocument/2006/relationships/hyperlink" Target="https://global.chinadaily.com.cn/a/202205/11/WS627b17f2a310fd2b29e5becf.html" TargetMode="External"/><Relationship Id="rId145" Type="http://schemas.openxmlformats.org/officeDocument/2006/relationships/hyperlink" Target="https://cordis.europa.eu/article/id/436347-safety-sustainability-and-security-for-europe-s-mineral-processing-industry" TargetMode="External"/><Relationship Id="rId166" Type="http://schemas.openxmlformats.org/officeDocument/2006/relationships/hyperlink" Target="https://www.recycling-magazine.com/2022/03/30/new-circular-economy-package-set-to-be-a-game-changer/" TargetMode="External"/><Relationship Id="rId187" Type="http://schemas.openxmlformats.org/officeDocument/2006/relationships/hyperlink" Target="https://www.euractiv.com/section/circular-economy/news/eu-lawmakers-to-accelerate-adoption-of-circular-economy-package/" TargetMode="External"/><Relationship Id="rId331" Type="http://schemas.openxmlformats.org/officeDocument/2006/relationships/hyperlink" Target="https://www.ebrd.com/news/2021/ebrd-launches-first-circulareconomy-programme.html" TargetMode="External"/><Relationship Id="rId352" Type="http://schemas.openxmlformats.org/officeDocument/2006/relationships/hyperlink" Target="https://www.businesswire.com/news/home/20210908005075/en/Zebra-Circular-Economy-Program-Wins-Business-Intelligence-Group-2021-Sustainability-Award" TargetMode="External"/><Relationship Id="rId373" Type="http://schemas.openxmlformats.org/officeDocument/2006/relationships/hyperlink" Target="http://www.interreg-gr.eu/de/events/interreg-grossregion-energie/" TargetMode="External"/><Relationship Id="rId394" Type="http://schemas.openxmlformats.org/officeDocument/2006/relationships/hyperlink" Target="https://waste-management-world.com/a/first-prototype-lego-brick-made-from-recycled-plastic" TargetMode="External"/><Relationship Id="rId408" Type="http://schemas.openxmlformats.org/officeDocument/2006/relationships/hyperlink" Target="https://amenagement-territoire.public.lu/fr/actualites/2021/Interreg2.html" TargetMode="External"/><Relationship Id="rId1" Type="http://schemas.openxmlformats.org/officeDocument/2006/relationships/hyperlink" Target="https://www.luxinnovation.lu/event/circular-by-design-challenge-3-launch-event/?_cldee=tuZtdJCq6eVWIaka1QxpjXUmOomgxif92yf3mqxXxEDVBVl-bdkX8ItPMUTL3CqmGhStXrIy6ZJbCSMI-GIeUA&amp;recipientid=contact-23b1fa3ba2e7ea1180e7005056bfe55c-79191890b22b496c8d63481de6ce2dc4&amp;esid=07202c72-9444-ed11-8102-005056bfe55c" TargetMode="External"/><Relationship Id="rId212" Type="http://schemas.openxmlformats.org/officeDocument/2006/relationships/hyperlink" Target="https://maee.gouvernement.lu/fr/actualites.gouvernement%2Bfr%2Bactualites%2Btoutes_actualites%2Bcommuniques%2B2022%2B01-janvier%2B27-economie-circulaire-defense-europeenne.html" TargetMode="External"/><Relationship Id="rId233" Type="http://schemas.openxmlformats.org/officeDocument/2006/relationships/hyperlink" Target="https://www.greenbiz.com/article/rubber-rice-goodyear-debuts-tire-made-70-percent-sustainable-material" TargetMode="External"/><Relationship Id="rId254" Type="http://schemas.openxmlformats.org/officeDocument/2006/relationships/hyperlink" Target="https://meerbomen.nu/over-ons/in-english/" TargetMode="External"/><Relationship Id="rId28" Type="http://schemas.openxmlformats.org/officeDocument/2006/relationships/hyperlink" Target="https://www.eu-startups.com/2022/08/spinning-laundry-sustainably-oxwash-picks-up-e11-7-million-and-earns-b-corp-certification/https:/www.oxwash.com" TargetMode="External"/><Relationship Id="rId49" Type="http://schemas.openxmlformats.org/officeDocument/2006/relationships/hyperlink" Target="https://www.cambridgenetwork.co.uk/news/cambond-ukri-and-consortium-deliver-world-class-green-economy-ps73m-bondifi-project" TargetMode="External"/><Relationship Id="rId114" Type="http://schemas.openxmlformats.org/officeDocument/2006/relationships/hyperlink" Target="https://www.greenbiz.com/article/whats-missing-circular-economy-according-10-emerging-leaders" TargetMode="External"/><Relationship Id="rId275" Type="http://schemas.openxmlformats.org/officeDocument/2006/relationships/hyperlink" Target="https://www.cc.lu/toute-linformation/actualites/detail/conference-leconomie-circulaire-des-benefices-pour-tous" TargetMode="External"/><Relationship Id="rId296" Type="http://schemas.openxmlformats.org/officeDocument/2006/relationships/hyperlink" Target="https://www.infogreen.lu/des-enrobes-basses-temperatures-et-a-fort-taux-de-recyclage.html" TargetMode="External"/><Relationship Id="rId300" Type="http://schemas.openxmlformats.org/officeDocument/2006/relationships/hyperlink" Target="https://www.cc.lu/agenda/detail/leconomie-circulaire-des-benefices-pour-tous-1?tx_ccagenda_agenda%5Bmonth%5D=2021-11" TargetMode="External"/><Relationship Id="rId60" Type="http://schemas.openxmlformats.org/officeDocument/2006/relationships/hyperlink" Target="https://agfundernews.com/europe-needs-to-ramp-up-circular-economy-investment" TargetMode="External"/><Relationship Id="rId81" Type="http://schemas.openxmlformats.org/officeDocument/2006/relationships/hyperlink" Target="https://gggi.org/the-grand-duchy-of-luxembourg-and-the-global-green-growth-institute-gggi-sign-an-agreement-for-the-establishment-of-a-gggi-office-in-luxembourg/" TargetMode="External"/><Relationship Id="rId135" Type="http://schemas.openxmlformats.org/officeDocument/2006/relationships/hyperlink" Target="https://paperjam.lu/article/ce-que-loi-dechets-va-changer-" TargetMode="External"/><Relationship Id="rId156" Type="http://schemas.openxmlformats.org/officeDocument/2006/relationships/hyperlink" Target="https://www.estherbeck.ch/fr/blog/recircle-la-nouvelle-box-pizza-evitera-quantite-de-dechets-non-recyclables/" TargetMode="External"/><Relationship Id="rId177" Type="http://schemas.openxmlformats.org/officeDocument/2006/relationships/hyperlink" Target="https://stanforddaily.com/2022/02/10/google-is-working-to-incorporate-recycled-components-into-its-products-circular-economy-strategist-says/" TargetMode="External"/><Relationship Id="rId198" Type="http://schemas.openxmlformats.org/officeDocument/2006/relationships/hyperlink" Target="https://www.maastrichtuniversity.nl/news/96-million-euros-boost-transition-circular-economy" TargetMode="External"/><Relationship Id="rId321" Type="http://schemas.openxmlformats.org/officeDocument/2006/relationships/hyperlink" Target="https://www.swissinfo.ch/eng/swiss-watchmaking-industry-embraces-the-circular-economy/46964724" TargetMode="External"/><Relationship Id="rId342" Type="http://schemas.openxmlformats.org/officeDocument/2006/relationships/hyperlink" Target="https://www.infogreen.lu/nouvel-espace-seconde-main.html" TargetMode="External"/><Relationship Id="rId363" Type="http://schemas.openxmlformats.org/officeDocument/2006/relationships/hyperlink" Target="https://www.ecotextile.com/2021072828141/materials-production-news/new-pilot-looks-to-close-the-fashion-loop.html" TargetMode="External"/><Relationship Id="rId384" Type="http://schemas.openxmlformats.org/officeDocument/2006/relationships/hyperlink" Target="https://www.recycling-magazine.com/2021/07/20/study-finds-competition-is-beneficial-to-circular-economy/" TargetMode="External"/><Relationship Id="rId419" Type="http://schemas.openxmlformats.org/officeDocument/2006/relationships/hyperlink" Target="https://www.citae.fr/actualites/le-diagnostic-produits-materiaux-et-dechets-obligatoire-au-1er-janvier-2022/" TargetMode="External"/><Relationship Id="rId202" Type="http://schemas.openxmlformats.org/officeDocument/2006/relationships/hyperlink" Target="https://biocircularcities.eu/" TargetMode="External"/><Relationship Id="rId223" Type="http://schemas.openxmlformats.org/officeDocument/2006/relationships/hyperlink" Target="https://loopdigitalwardrobe.com/" TargetMode="External"/><Relationship Id="rId244" Type="http://schemas.openxmlformats.org/officeDocument/2006/relationships/hyperlink" Target="https://economie-circulaire.public.lu/en/inpractice/projects.html" TargetMode="External"/><Relationship Id="rId18" Type="http://schemas.openxmlformats.org/officeDocument/2006/relationships/hyperlink" Target="https://www.oecd.org/environment/securing-reverse-supply-chains-for-a-resource-efficient-and-circular-economy-6ab6bb39-en.htm" TargetMode="External"/><Relationship Id="rId39" Type="http://schemas.openxmlformats.org/officeDocument/2006/relationships/hyperlink" Target="https://iceberg-project.eu/" TargetMode="External"/><Relationship Id="rId265" Type="http://schemas.openxmlformats.org/officeDocument/2006/relationships/hyperlink" Target="https://www.wastedive.com/news/epa-national-recycling-strategy-circular-economy-takeaways/610076/" TargetMode="External"/><Relationship Id="rId286" Type="http://schemas.openxmlformats.org/officeDocument/2006/relationships/hyperlink" Target="https://www.sitra.fi/en/articles/41-pioneering-fnnish-circular-economy-companies/?utm_source=creamailer&amp;utm_medium=email&amp;utm_campaign=Carbon-neutral+circular+economy+Newsletter&amp;utm_content=%5Bemail%5D" TargetMode="External"/><Relationship Id="rId50" Type="http://schemas.openxmlformats.org/officeDocument/2006/relationships/hyperlink" Target="https://www.infogreen.lu/la-petite-maison-dans-le-champ-des-possibles.html" TargetMode="External"/><Relationship Id="rId104" Type="http://schemas.openxmlformats.org/officeDocument/2006/relationships/hyperlink" Target="https://www.circuli-ion.com/" TargetMode="External"/><Relationship Id="rId125" Type="http://schemas.openxmlformats.org/officeDocument/2006/relationships/hyperlink" Target="https://www.hannovermesse.de/en/news/industry-trends/circular-economy" TargetMode="External"/><Relationship Id="rId146" Type="http://schemas.openxmlformats.org/officeDocument/2006/relationships/hyperlink" Target="https://newsroom.ibm.com/2022-04-28-More-than-Half-of-Chief-Supply-Chain-Officers-Surveyed-Would-Sacrifice-Profit-for-Sustainability" TargetMode="External"/><Relationship Id="rId167" Type="http://schemas.openxmlformats.org/officeDocument/2006/relationships/hyperlink" Target="https://www.fao.org/3/cb7274en/cb7274en.pdf" TargetMode="External"/><Relationship Id="rId188" Type="http://schemas.openxmlformats.org/officeDocument/2006/relationships/hyperlink" Target="https://www.unep.org/news-and-stories/story/what-you-need-know-about-plastic-pollution-resolution" TargetMode="External"/><Relationship Id="rId311" Type="http://schemas.openxmlformats.org/officeDocument/2006/relationships/hyperlink" Target="https://tassasiaexpo.com/news.php?lang=en" TargetMode="External"/><Relationship Id="rId332" Type="http://schemas.openxmlformats.org/officeDocument/2006/relationships/hyperlink" Target="https://www.euractiv.com/section/energy-environment/opinion/making-climate-neutral-chemicals-and-materials-a-reality/" TargetMode="External"/><Relationship Id="rId353" Type="http://schemas.openxmlformats.org/officeDocument/2006/relationships/hyperlink" Target="https://www.benureuse.lu/en/" TargetMode="External"/><Relationship Id="rId374" Type="http://schemas.openxmlformats.org/officeDocument/2006/relationships/hyperlink" Target="https://www.wallonie.be/fr/demarches/participer-lappel-projets-chantiers-et-services-circulaires" TargetMode="External"/><Relationship Id="rId395" Type="http://schemas.openxmlformats.org/officeDocument/2006/relationships/hyperlink" Target="https://medium.com/circulatenews/how-circular-design-guidelines-unlock-organisations-potential-for-change-15b7a4caae10" TargetMode="External"/><Relationship Id="rId409" Type="http://schemas.openxmlformats.org/officeDocument/2006/relationships/hyperlink" Target="https://amenagement-territoire.public.lu/dam-assets/fr/grande_region_aff_transfrontalieres/interreg-sdtgr-rekgr/Interreg-Brochure-Environnement-final-draft-29032021.pdf" TargetMode="External"/><Relationship Id="rId71" Type="http://schemas.openxmlformats.org/officeDocument/2006/relationships/hyperlink" Target="https://www.electrive.net/2022/07/05/bmwk-foerdert-batterie-recycling-von-mercedes-in-kuppenheim/" TargetMode="External"/><Relationship Id="rId92" Type="http://schemas.openxmlformats.org/officeDocument/2006/relationships/hyperlink" Target="https://www.sitra.fi/app/uploads/2022/05/sitra-tackling-root-causes-1.pdf" TargetMode="External"/><Relationship Id="rId213" Type="http://schemas.openxmlformats.org/officeDocument/2006/relationships/hyperlink" Target="https://eda.europa.eu/news-and-events/news/2022/01/27/eda-s-new-forum-for-circular-economy" TargetMode="External"/><Relationship Id="rId234" Type="http://schemas.openxmlformats.org/officeDocument/2006/relationships/hyperlink" Target="https://www.fastcompany.com/90711379/your-old-timberland-boots-can-now-be-your-new-timberland-boots" TargetMode="External"/><Relationship Id="rId420" Type="http://schemas.openxmlformats.org/officeDocument/2006/relationships/printerSettings" Target="../printerSettings/printerSettings1.bin"/><Relationship Id="rId2" Type="http://schemas.openxmlformats.org/officeDocument/2006/relationships/hyperlink" Target="https://www.eba250.com/eit-innoenergy-joins-cirpass-to-lay-the-ground-for-the-deployment-of-european-digital-product-passports/" TargetMode="External"/><Relationship Id="rId29" Type="http://schemas.openxmlformats.org/officeDocument/2006/relationships/hyperlink" Target="https://tech.eu/2022/08/31/berlin-s-topi-raises-45-million-in-new-funding-round-reveals-hardware-as-a-service-platform-for-retailers-and-manufacturers/" TargetMode="External"/><Relationship Id="rId255" Type="http://schemas.openxmlformats.org/officeDocument/2006/relationships/hyperlink" Target="https://circularcomputing.com/news/circular-computing-partners-atos/" TargetMode="External"/><Relationship Id="rId276" Type="http://schemas.openxmlformats.org/officeDocument/2006/relationships/hyperlink" Target="https://www.cc.lu/fileadmin/A_T_26_Economie_circulaire.pdf" TargetMode="External"/><Relationship Id="rId297" Type="http://schemas.openxmlformats.org/officeDocument/2006/relationships/hyperlink" Target="https://3dprint.com/286111/roboze-to-begin-circular-economy-program-starting-next-year/" TargetMode="External"/><Relationship Id="rId40" Type="http://schemas.openxmlformats.org/officeDocument/2006/relationships/hyperlink" Target="https://www.nweurope.eu/projects/project-search/fcrbe-facilitating-the-circulation-of-reclaimed-building-elements-in-northwestern-europe/" TargetMode="External"/><Relationship Id="rId115" Type="http://schemas.openxmlformats.org/officeDocument/2006/relationships/hyperlink" Target="https://www.wbcsd.org/Programs/Circular-Economy/Metrics-Measurement/News/The-linear-economy-is-reaching-the-end-of-the-line-business-must-adopt-circularity-to-stay-competitive" TargetMode="External"/><Relationship Id="rId136" Type="http://schemas.openxmlformats.org/officeDocument/2006/relationships/hyperlink" Target="https://www.infogreen.lu/un-paquet-legislatif-pour-aller-du-dechet-a-la-ressource.html" TargetMode="External"/><Relationship Id="rId157" Type="http://schemas.openxmlformats.org/officeDocument/2006/relationships/hyperlink" Target="https://www.hedgeweek.com/2022/03/31/313382/man-glg-launches-sustainable-water-and-circular-economy-fund" TargetMode="External"/><Relationship Id="rId178" Type="http://schemas.openxmlformats.org/officeDocument/2006/relationships/hyperlink" Target="https://www.luloop.lu/" TargetMode="External"/><Relationship Id="rId301" Type="http://schemas.openxmlformats.org/officeDocument/2006/relationships/hyperlink" Target="https://www.zepros.fr/dechets-neufs-la-solution-stockpro-leve-4-millions-deuros--101798" TargetMode="External"/><Relationship Id="rId322" Type="http://schemas.openxmlformats.org/officeDocument/2006/relationships/hyperlink" Target="https://www.weforum.org/agenda/2021/09/4-industry-leaders-on-what-it-takes-to-go-circular-economy-circularity-sdis-2021/" TargetMode="External"/><Relationship Id="rId343" Type="http://schemas.openxmlformats.org/officeDocument/2006/relationships/hyperlink" Target="https://youtu.be/SbNcbUMOdD8" TargetMode="External"/><Relationship Id="rId364" Type="http://schemas.openxmlformats.org/officeDocument/2006/relationships/hyperlink" Target="https://drive.google.com/file/d/1vL3E1X7DVk-1ndTJj2m0WKhR6I7JpOc7/view" TargetMode="External"/><Relationship Id="rId61" Type="http://schemas.openxmlformats.org/officeDocument/2006/relationships/hyperlink" Target="https://joint-research-centre.ec.europa.eu/jrc-news/helping-consumers-choose-more-sustainable-products-2022-07-26_en?pk_source=linkedin&amp;pk_medium=social_media_organic&amp;pk_campaign=reparability_scores" TargetMode="External"/><Relationship Id="rId82" Type="http://schemas.openxmlformats.org/officeDocument/2006/relationships/hyperlink" Target="https://www.infogreen.lu/luxse-named-stock-exchange-of-the-year-by-environmental-finance.html" TargetMode="External"/><Relationship Id="rId199" Type="http://schemas.openxmlformats.org/officeDocument/2006/relationships/hyperlink" Target="https://lekolabs.com/news" TargetMode="External"/><Relationship Id="rId203" Type="http://schemas.openxmlformats.org/officeDocument/2006/relationships/hyperlink" Target="https://siliconcanals.com/news/startups/germanys-everphone-secures-177m/" TargetMode="External"/><Relationship Id="rId385" Type="http://schemas.openxmlformats.org/officeDocument/2006/relationships/hyperlink" Target="https://www.linkedin.com/posts/our-choice_circulareconomy-paperjamopen-luxembourg-activity-6824314495062597633-NAq4" TargetMode="External"/><Relationship Id="rId19" Type="http://schemas.openxmlformats.org/officeDocument/2006/relationships/hyperlink" Target="https://www.infogreen.lu/benu-couture-s-envole-vers-le-web.html" TargetMode="External"/><Relationship Id="rId224" Type="http://schemas.openxmlformats.org/officeDocument/2006/relationships/hyperlink" Target="https://www.cityam.com/iota-foundation-donates-1m-to-imperial-college-for-circular-economy-research/" TargetMode="External"/><Relationship Id="rId245" Type="http://schemas.openxmlformats.org/officeDocument/2006/relationships/hyperlink" Target="https://www.archdaily.com/973828/valentino-gareri-atelier-designs-prototype-for-circular-economy-village-in-australia" TargetMode="External"/><Relationship Id="rId266" Type="http://schemas.openxmlformats.org/officeDocument/2006/relationships/hyperlink" Target="https://www.abiresearch.com/press/sustainability-action-2030-105-world-will-have-achieved-circularity/" TargetMode="External"/><Relationship Id="rId287" Type="http://schemas.openxmlformats.org/officeDocument/2006/relationships/hyperlink" Target="https://environnement.public.lu/fr/actualites/2021/10/reemploi-tns.html" TargetMode="External"/><Relationship Id="rId410" Type="http://schemas.openxmlformats.org/officeDocument/2006/relationships/hyperlink" Target="https://media.sitra.fi/2021/06/28151630/material-economics-eu-biomass-use-in-a-net-zero-economy.pdf" TargetMode="External"/><Relationship Id="rId30" Type="http://schemas.openxmlformats.org/officeDocument/2006/relationships/hyperlink" Target="https://techcrunch.com/2022/08/30/topi-raises-45m-to-power-hardware-subscriptions-for-b2b-merchants/" TargetMode="External"/><Relationship Id="rId105" Type="http://schemas.openxmlformats.org/officeDocument/2006/relationships/hyperlink" Target="https://www.recyclingtoday.com/article/hydrovolt-battery-recycling-norway-europe-jv/" TargetMode="External"/><Relationship Id="rId126" Type="http://schemas.openxmlformats.org/officeDocument/2006/relationships/hyperlink" Target="https://www.youtube.com/watch?v=eNbQVlfKLgQ" TargetMode="External"/><Relationship Id="rId147" Type="http://schemas.openxmlformats.org/officeDocument/2006/relationships/hyperlink" Target="https://fashionunited.uk/news/business/mango-teams-up-with-i-co-to-advance-circular-economy-strategy/2022041462618" TargetMode="External"/><Relationship Id="rId168" Type="http://schemas.openxmlformats.org/officeDocument/2006/relationships/hyperlink" Target="https://www.agriland.ie/farming-news/new-report-on-wood-products-released-to-mark-international-day-of-forests/" TargetMode="External"/><Relationship Id="rId312" Type="http://schemas.openxmlformats.org/officeDocument/2006/relationships/hyperlink" Target="https://alga.asn.au/circular-economy-centre-of-excellence-slated-for-adelaide/" TargetMode="External"/><Relationship Id="rId333" Type="http://schemas.openxmlformats.org/officeDocument/2006/relationships/hyperlink" Target="https://www.meco.lu/de/blog/documentcenter/das-recht-der-konsumenten-auf-reparatur-ein-beitrag-zum-ressourcen-und-klimaschutz/" TargetMode="External"/><Relationship Id="rId354" Type="http://schemas.openxmlformats.org/officeDocument/2006/relationships/hyperlink" Target="https://www.facebook.com/benuvillageesch/posts/2192779307530837" TargetMode="External"/><Relationship Id="rId51" Type="http://schemas.openxmlformats.org/officeDocument/2006/relationships/hyperlink" Target="https://upstreamsolutions.org/blog/upstream-and-closed-loop-partners-announce-finalists-of-the-reusies-2022" TargetMode="External"/><Relationship Id="rId72" Type="http://schemas.openxmlformats.org/officeDocument/2006/relationships/hyperlink" Target="https://www.pv-magazine-australia.com/2022/03/16/wa-company-to-partner-with-mercedes-benz-building-carmakers-first-foray-into-battery-recycling/" TargetMode="External"/><Relationship Id="rId93" Type="http://schemas.openxmlformats.org/officeDocument/2006/relationships/hyperlink" Target="https://www.agriland.ie/farming-news/a-circular-economy-is-the-biodiversity-solution-right-in-front-of-us-report/" TargetMode="External"/><Relationship Id="rId189" Type="http://schemas.openxmlformats.org/officeDocument/2006/relationships/hyperlink" Target="https://www.reuters.com/business/environment/biggest-green-deal-since-paris-un-approve-plastic-treaty-roadmap-2022-03-02/" TargetMode="External"/><Relationship Id="rId375" Type="http://schemas.openxmlformats.org/officeDocument/2006/relationships/hyperlink" Target="https://economiecirculaire.wallonie.be/" TargetMode="External"/><Relationship Id="rId396" Type="http://schemas.openxmlformats.org/officeDocument/2006/relationships/hyperlink" Target="https://www.circle-economy.com/news/future-proofing-businesses-new-white-paper-shows-us-how-to-measure-the-value-of-circular-impact" TargetMode="External"/><Relationship Id="rId3" Type="http://schemas.openxmlformats.org/officeDocument/2006/relationships/hyperlink" Target="https://pcds.lu/" TargetMode="External"/><Relationship Id="rId214" Type="http://schemas.openxmlformats.org/officeDocument/2006/relationships/hyperlink" Target="https://www.pioneerspost.com/news-views/20220209/major-dutch-pension-provider-backs-ambitious-100m-circular-economy-fund" TargetMode="External"/><Relationship Id="rId235" Type="http://schemas.openxmlformats.org/officeDocument/2006/relationships/hyperlink" Target="https://www.circularx.eu/en/cases/34/patagonia-worn-wear-program" TargetMode="External"/><Relationship Id="rId256" Type="http://schemas.openxmlformats.org/officeDocument/2006/relationships/hyperlink" Target="https://www.verdict.co.uk/orange-nokia-ran-circular-economy/" TargetMode="External"/><Relationship Id="rId277" Type="http://schemas.openxmlformats.org/officeDocument/2006/relationships/hyperlink" Target="https://vimeo.com/650258307" TargetMode="External"/><Relationship Id="rId298" Type="http://schemas.openxmlformats.org/officeDocument/2006/relationships/hyperlink" Target="https://www.roboze.com/en/press/" TargetMode="External"/><Relationship Id="rId400" Type="http://schemas.openxmlformats.org/officeDocument/2006/relationships/hyperlink" Target="https://www.greenbiz.com/article/12-young-circular-economy-innovators" TargetMode="External"/><Relationship Id="rId116" Type="http://schemas.openxmlformats.org/officeDocument/2006/relationships/hyperlink" Target="https://www.eea.europa.eu/highlights/consumers-can-play-key-role" TargetMode="External"/><Relationship Id="rId137" Type="http://schemas.openxmlformats.org/officeDocument/2006/relationships/hyperlink" Target="https://www.cbc.ca/news/canada/thunder-bay/thunder-bay-mass-timber-construction-innovation-1.6439096" TargetMode="External"/><Relationship Id="rId158" Type="http://schemas.openxmlformats.org/officeDocument/2006/relationships/hyperlink" Target="https://www.foresightgroup.eu/news/foresight-launches-sustainable-future-themes-fund-expanding-oeic-range/" TargetMode="External"/><Relationship Id="rId302" Type="http://schemas.openxmlformats.org/officeDocument/2006/relationships/hyperlink" Target="https://www.stock-pro.fr/mission" TargetMode="External"/><Relationship Id="rId323" Type="http://schemas.openxmlformats.org/officeDocument/2006/relationships/hyperlink" Target="https://resource.co/article/systemiq-releases-circular-economy-report-ahead-climate-week" TargetMode="External"/><Relationship Id="rId344" Type="http://schemas.openxmlformats.org/officeDocument/2006/relationships/hyperlink" Target="https://youtu.be/KKgqGpZablw" TargetMode="External"/><Relationship Id="rId20" Type="http://schemas.openxmlformats.org/officeDocument/2006/relationships/hyperlink" Target="https://www.mckinsey.com/business-functions/sustainability/our-insights/how-a-materials-transition-can-support-the-net-zero-agenda" TargetMode="External"/><Relationship Id="rId41" Type="http://schemas.openxmlformats.org/officeDocument/2006/relationships/hyperlink" Target="https://www.weforum.org/agenda/2022/07/3-circular-approaches-to-reduce-demand-for-critical-minerals/" TargetMode="External"/><Relationship Id="rId62" Type="http://schemas.openxmlformats.org/officeDocument/2006/relationships/hyperlink" Target="https://www.unssc.org/courses/circular-economy-and-2030-agenda" TargetMode="External"/><Relationship Id="rId83" Type="http://schemas.openxmlformats.org/officeDocument/2006/relationships/hyperlink" Target="https://www.constructionweekonline.com/projects-tenders/alnama-smart-city" TargetMode="External"/><Relationship Id="rId179" Type="http://schemas.openxmlformats.org/officeDocument/2006/relationships/hyperlink" Target="https://www.3ds.com/newsroom/press-releases/dassault-systemes-introduces-life-cycle-assessment-solution-3dexperience-platform-transform-sustainable-innovation-process" TargetMode="External"/><Relationship Id="rId365" Type="http://schemas.openxmlformats.org/officeDocument/2006/relationships/hyperlink" Target="https://www.ellenmacarthurfoundation.org/news/circular-economy-risk-white-paper" TargetMode="External"/><Relationship Id="rId386" Type="http://schemas.openxmlformats.org/officeDocument/2006/relationships/hyperlink" Target="https://www.ourchoicefashion.com/about" TargetMode="External"/><Relationship Id="rId190" Type="http://schemas.openxmlformats.org/officeDocument/2006/relationships/hyperlink" Target="https://www.voltimum.co.uk/articles/recolight-announce-circular-economy" TargetMode="External"/><Relationship Id="rId204" Type="http://schemas.openxmlformats.org/officeDocument/2006/relationships/hyperlink" Target="https://www.everphone.com/en/device-lifecycle-management" TargetMode="External"/><Relationship Id="rId225" Type="http://schemas.openxmlformats.org/officeDocument/2006/relationships/hyperlink" Target="https://www.imperial.ac.uk/iota-infrastructures-lab/about-us/" TargetMode="External"/><Relationship Id="rId246" Type="http://schemas.openxmlformats.org/officeDocument/2006/relationships/hyperlink" Target="https://economie-circulaire.public.lu/en/news/news-22-01-20.html" TargetMode="External"/><Relationship Id="rId267" Type="http://schemas.openxmlformats.org/officeDocument/2006/relationships/hyperlink" Target="https://www.tradeandinvest.lu/news/a-nation-wide-digital-twin/" TargetMode="External"/><Relationship Id="rId288" Type="http://schemas.openxmlformats.org/officeDocument/2006/relationships/hyperlink" Target="https://www.capgemini.com/gb-en/news/businesses-must-embrace-circular-economy-practices-and-enable-greater-consumer-adoption-to-build-resilience-for-the-future/" TargetMode="External"/><Relationship Id="rId411" Type="http://schemas.openxmlformats.org/officeDocument/2006/relationships/hyperlink" Target="https://www.wort.lu/de/business/nachhaltige-mode-luxemburg-experimentiert-im-fair-fashion-lab-60dc4e62de135b923624c821" TargetMode="External"/><Relationship Id="rId106" Type="http://schemas.openxmlformats.org/officeDocument/2006/relationships/hyperlink" Target="https://www.pacteclimat.lu/fr/engagierter-akteur/news/plateforme-b-circular" TargetMode="External"/><Relationship Id="rId127" Type="http://schemas.openxmlformats.org/officeDocument/2006/relationships/hyperlink" Target="https://www.spuerkeess.lu/fr/blog/le-coin-des-experts/au-revoir-economie-lineaire-bonjour-economie-circulaire/" TargetMode="External"/><Relationship Id="rId313" Type="http://schemas.openxmlformats.org/officeDocument/2006/relationships/hyperlink" Target="https://www.circular360.org/" TargetMode="External"/><Relationship Id="rId10" Type="http://schemas.openxmlformats.org/officeDocument/2006/relationships/hyperlink" Target="https://www.swissinfo.ch/eng/zurich-to-enshrine-the-circular-economy-in-constitution/47928262" TargetMode="External"/><Relationship Id="rId31" Type="http://schemas.openxmlformats.org/officeDocument/2006/relationships/hyperlink" Target="https://resource.co/article/biotechnology-startup-mialgae-awarded-23m-private-investment" TargetMode="External"/><Relationship Id="rId52" Type="http://schemas.openxmlformats.org/officeDocument/2006/relationships/hyperlink" Target="https://www.bam.de/Content/EN/Press-Releases/2022/2022-07-20-circular-economy-building-materials.html" TargetMode="External"/><Relationship Id="rId73" Type="http://schemas.openxmlformats.org/officeDocument/2006/relationships/hyperlink" Target="https://www.gov.scot/news/consultations-on-circular-economy-launched/" TargetMode="External"/><Relationship Id="rId94" Type="http://schemas.openxmlformats.org/officeDocument/2006/relationships/hyperlink" Target="https://www.miningweekly.com/article/circular-economy-prompting-steel-oil-carbon-recovery-from-end-of-life-mine-truck-tyres-2022-06-04/rep_id:3650" TargetMode="External"/><Relationship Id="rId148" Type="http://schemas.openxmlformats.org/officeDocument/2006/relationships/hyperlink" Target="https://www.ico-spirit.com/en/services/" TargetMode="External"/><Relationship Id="rId169" Type="http://schemas.openxmlformats.org/officeDocument/2006/relationships/hyperlink" Target="https://www.luxinnovation.lu/news/luxinnovation-at-the-forum-bois-construction/" TargetMode="External"/><Relationship Id="rId334" Type="http://schemas.openxmlformats.org/officeDocument/2006/relationships/hyperlink" Target="https://openrepair.org/announcements/repair-day-2021/" TargetMode="External"/><Relationship Id="rId355" Type="http://schemas.openxmlformats.org/officeDocument/2006/relationships/hyperlink" Target="https://ce-hub.org/news/the-autumn-events-programme-is-here/" TargetMode="External"/><Relationship Id="rId376" Type="http://schemas.openxmlformats.org/officeDocument/2006/relationships/hyperlink" Target="https://www.lsc-group.lu/awards/" TargetMode="External"/><Relationship Id="rId397" Type="http://schemas.openxmlformats.org/officeDocument/2006/relationships/hyperlink" Target="https://www.circle-economy.com/news/a-fully-circular-clothing-industry-in-the-netherlands-is-possible-and-can-bring-plentiful-employment-benefits" TargetMode="External"/><Relationship Id="rId4" Type="http://schemas.openxmlformats.org/officeDocument/2006/relationships/hyperlink" Target="https://advisory.eib.org/about/circular-city-centre.htm" TargetMode="External"/><Relationship Id="rId180" Type="http://schemas.openxmlformats.org/officeDocument/2006/relationships/hyperlink" Target="https://www.ukri.org/news/plastic-packaging-innovations-receive-30-million-boost-from-ukri/" TargetMode="External"/><Relationship Id="rId215" Type="http://schemas.openxmlformats.org/officeDocument/2006/relationships/hyperlink" Target="https://citywireselector.com/news/mediolanum-picks-pictet-and-kbi-to-run-new-circular-economy-fund/a2379091" TargetMode="External"/><Relationship Id="rId236" Type="http://schemas.openxmlformats.org/officeDocument/2006/relationships/hyperlink" Target="https://www.bsr.org/en/our-insights/blog-view/the-rise-of-circular-fashion-brings-opportunity-to-design-a-fashion-system" TargetMode="External"/><Relationship Id="rId257" Type="http://schemas.openxmlformats.org/officeDocument/2006/relationships/hyperlink" Target="https://www.wcef2021.com/session/making-the-business-case-for-advancing-a-low-carbon-circular-built-environment/" TargetMode="External"/><Relationship Id="rId278" Type="http://schemas.openxmlformats.org/officeDocument/2006/relationships/hyperlink" Target="https://circulab.academy/courses/design-circular-business-models/" TargetMode="External"/><Relationship Id="rId401" Type="http://schemas.openxmlformats.org/officeDocument/2006/relationships/hyperlink" Target="https://www.greenbiz.com/article/resale-and-rental-two-circular-consumption-models-endless-possibilities" TargetMode="External"/><Relationship Id="rId303" Type="http://schemas.openxmlformats.org/officeDocument/2006/relationships/hyperlink" Target="https://www.eu-startups.com/2021/11/estonian-fintech-startup-fairown-secures-e4-2million-empowering-companies-to-contribute-to-waste-reduction-and-conscious-consumption/" TargetMode="External"/><Relationship Id="rId42" Type="http://schemas.openxmlformats.org/officeDocument/2006/relationships/hyperlink" Target="https://www.nature.com/articles/s41893-022-00895-8" TargetMode="External"/><Relationship Id="rId84" Type="http://schemas.openxmlformats.org/officeDocument/2006/relationships/hyperlink" Target="https://techmonitor.ai/leadership/sustainability/telcos-circular-economy-principles-tackle-e-waste" TargetMode="External"/><Relationship Id="rId138" Type="http://schemas.openxmlformats.org/officeDocument/2006/relationships/hyperlink" Target="https://architecturetoday.co.uk/sara-cultural-centre-kulturhus-white-arkitekter-tall-timber-sweden/" TargetMode="External"/><Relationship Id="rId345" Type="http://schemas.openxmlformats.org/officeDocument/2006/relationships/hyperlink" Target="https://guelph.ca/2021/08/world-class-circular-economy-business-accelerator-program-is-launching-in-guelph-wellington/" TargetMode="External"/><Relationship Id="rId387" Type="http://schemas.openxmlformats.org/officeDocument/2006/relationships/hyperlink" Target="https://www.undp.org/stories/finnish-textile-producers-become-circular-economy-pioneers" TargetMode="External"/><Relationship Id="rId191" Type="http://schemas.openxmlformats.org/officeDocument/2006/relationships/hyperlink" Target="https://www.recolight.co.uk/webinars/" TargetMode="External"/><Relationship Id="rId205" Type="http://schemas.openxmlformats.org/officeDocument/2006/relationships/hyperlink" Target="https://www.orange.lu/en/news/launch-re-program/" TargetMode="External"/><Relationship Id="rId247" Type="http://schemas.openxmlformats.org/officeDocument/2006/relationships/hyperlink" Target="https://www.wiltz.lu/fr/agenda?category=8" TargetMode="External"/><Relationship Id="rId412" Type="http://schemas.openxmlformats.org/officeDocument/2006/relationships/hyperlink" Target="https://gouvernement.lu/fr/actualites/toutes_actualites/communiques/2021/06-juin/22-lancement-portail-economie-circulaire.html" TargetMode="External"/><Relationship Id="rId107" Type="http://schemas.openxmlformats.org/officeDocument/2006/relationships/hyperlink" Target="https://gouvernement.lu/fr/actualites/toutes_actualites/communiques/2022/06-juin/10-fayot-pavillon-japon.html" TargetMode="External"/><Relationship Id="rId289" Type="http://schemas.openxmlformats.org/officeDocument/2006/relationships/hyperlink" Target="https://www.computerweekly.com/feature/How-in-store-technology-is-supporting-retails-sustainability-agenda" TargetMode="External"/><Relationship Id="rId11" Type="http://schemas.openxmlformats.org/officeDocument/2006/relationships/hyperlink" Target="https://www.euractiv.com/section/circular-economy/news/eu-ministers-challenge-commissions-green-products-regulation/" TargetMode="External"/><Relationship Id="rId53" Type="http://schemas.openxmlformats.org/officeDocument/2006/relationships/hyperlink" Target="https://www.nweurope.eu/projects/project-search/digital-deconstruction/" TargetMode="External"/><Relationship Id="rId149" Type="http://schemas.openxmlformats.org/officeDocument/2006/relationships/hyperlink" Target="https://flexitdistribution.com/flex-it-acquires-mkcl/" TargetMode="External"/><Relationship Id="rId314" Type="http://schemas.openxmlformats.org/officeDocument/2006/relationships/hyperlink" Target="https://ellenmacarthurfoundation.org/cop26" TargetMode="External"/><Relationship Id="rId356" Type="http://schemas.openxmlformats.org/officeDocument/2006/relationships/hyperlink" Target="https://www.interregeurope.eu/replace/news/news-article/12785/circular-benchmark-tool/" TargetMode="External"/><Relationship Id="rId398" Type="http://schemas.openxmlformats.org/officeDocument/2006/relationships/hyperlink" Target="https://www.circularonline.co.uk/news/ecosurety-launches-second-exploration-fund/" TargetMode="External"/><Relationship Id="rId95" Type="http://schemas.openxmlformats.org/officeDocument/2006/relationships/hyperlink" Target="https://www.kaltiremining.com/en/sustainable-solution/recycling/" TargetMode="External"/><Relationship Id="rId160" Type="http://schemas.openxmlformats.org/officeDocument/2006/relationships/hyperlink" Target="https://www.prnewswire.co.uk/news-releases/beko-launches-hackathon-to-encourage-unique-ideas-and-develop-solutions-to-create-a-positive-impact-on-people-and-the-planet-878211753.html" TargetMode="External"/><Relationship Id="rId216" Type="http://schemas.openxmlformats.org/officeDocument/2006/relationships/hyperlink" Target="https://www.eastman.com/Company/News_Center/2022/Pages/Eastman-to-invest-to-accelerate-circular-economy.aspx" TargetMode="External"/><Relationship Id="rId258" Type="http://schemas.openxmlformats.org/officeDocument/2006/relationships/hyperlink" Target="https://www.wbcsd.org/Programs/Cities-and-Mobility/Sustainable-Cities/Transforming-the-Built-Environment/Resources/The-business-case-for-circular-buildings-Exploring-the-economic-environmental-and-social-value" TargetMode="External"/><Relationship Id="rId22" Type="http://schemas.openxmlformats.org/officeDocument/2006/relationships/hyperlink" Target="http://klimaexpo.lu/" TargetMode="External"/><Relationship Id="rId64" Type="http://schemas.openxmlformats.org/officeDocument/2006/relationships/hyperlink" Target="https://www.newsncr.com/business/why-eric-schmidt-believes-bioscience-will-change-the-world/" TargetMode="External"/><Relationship Id="rId118" Type="http://schemas.openxmlformats.org/officeDocument/2006/relationships/hyperlink" Target="https://refed.org/articles/refed-and-closed-loop-partners-announce-100m-funding-platform-to-scale-food-waste-solutions-with-funding-from-google-and-the-betsy-and-jesse-fink-family-foundation/" TargetMode="External"/><Relationship Id="rId325" Type="http://schemas.openxmlformats.org/officeDocument/2006/relationships/hyperlink" Target="https://www.luxinnovation.lu/fr/news/the-circular-by-design-challenge-goes-international/" TargetMode="External"/><Relationship Id="rId367" Type="http://schemas.openxmlformats.org/officeDocument/2006/relationships/hyperlink" Target="https://waste-management-world.com/a/china-unveils-new-circular-economy-plan" TargetMode="External"/><Relationship Id="rId171" Type="http://schemas.openxmlformats.org/officeDocument/2006/relationships/hyperlink" Target="https://www.eea.europa.eu/publications/monitoring-the-circular-economy-with" TargetMode="External"/><Relationship Id="rId227" Type="http://schemas.openxmlformats.org/officeDocument/2006/relationships/hyperlink" Target="https://meco.gouvernement.lu/fr/actualites.gouvernement%2Bfr%2Bactualites%2Btoutes_actualites%2Bcommuniques%2B2022%2B02-fevrier%2B01-fayot-lens.html" TargetMode="External"/><Relationship Id="rId269" Type="http://schemas.openxmlformats.org/officeDocument/2006/relationships/hyperlink" Target="https://www.finsmes.com/2021/11/kompas-launches-160m-venture-capital-fund.html" TargetMode="External"/><Relationship Id="rId33" Type="http://schemas.openxmlformats.org/officeDocument/2006/relationships/hyperlink" Target="https://biomarketinsights.com/vegan-biomaterials-could-replace-chemicals-in-crop-management/" TargetMode="External"/><Relationship Id="rId129" Type="http://schemas.openxmlformats.org/officeDocument/2006/relationships/hyperlink" Target="https://www.pehub.com/cycle-capital-and-demeter-wraps-up-new-cif-fund/" TargetMode="External"/><Relationship Id="rId280" Type="http://schemas.openxmlformats.org/officeDocument/2006/relationships/hyperlink" Target="https://mesis.lu/news/sociale-et-circulaire-leconomie-de-demain/" TargetMode="External"/><Relationship Id="rId336" Type="http://schemas.openxmlformats.org/officeDocument/2006/relationships/hyperlink" Target="https://www.edie.net/news/5/-New-territory-for-us---How-BMW-is-embedding-circular-economy-principles-to-accelerate-the-low-carbon-transition/" TargetMode="External"/><Relationship Id="rId75" Type="http://schemas.openxmlformats.org/officeDocument/2006/relationships/hyperlink" Target="https://www.canada.ca/en/environment-climate-change/services/managing-reducing-waste/reduce-plastic-waste/single-use-plastic-guidance.html" TargetMode="External"/><Relationship Id="rId140" Type="http://schemas.openxmlformats.org/officeDocument/2006/relationships/hyperlink" Target="https://dividendwealth.co.uk/clear-definitions-should-lead-to-new-opportunities-for-the-circular-economy-of-water/" TargetMode="External"/><Relationship Id="rId182" Type="http://schemas.openxmlformats.org/officeDocument/2006/relationships/hyperlink" Target="https://www.weforum.org/agenda/2022/02/the-circular-accelerator-2022-cohort-launch/" TargetMode="External"/><Relationship Id="rId378" Type="http://schemas.openxmlformats.org/officeDocument/2006/relationships/hyperlink" Target="https://www.eu-startups.com/2021/07/berlin-based-grover-lands-1-billion-e847-million-to-boost-the-circular-economy-with-its-consumer-tech-subscription/" TargetMode="External"/><Relationship Id="rId403" Type="http://schemas.openxmlformats.org/officeDocument/2006/relationships/hyperlink" Target="https://www.circularonline.co.uk/wp-content/uploads/2021/06/CIWM-Presidential-Report-2021.pdf" TargetMode="External"/><Relationship Id="rId6" Type="http://schemas.openxmlformats.org/officeDocument/2006/relationships/hyperlink" Target="https://www.rentle.io/" TargetMode="External"/><Relationship Id="rId238" Type="http://schemas.openxmlformats.org/officeDocument/2006/relationships/hyperlink" Target="https://www.eib.org/en/press/all/2021-476-the-eib-with-the-support-of-the-european-commission-is-financing-a-eur30m-loan-for-carbios-enzymatic-recycling-technology-to-support-the-circular-economy" TargetMode="External"/><Relationship Id="rId291" Type="http://schemas.openxmlformats.org/officeDocument/2006/relationships/hyperlink" Target="https://www.geospatialworld.net/article/using-geospatial-data-to-monitor-sdg-progress-support-circular-economy/" TargetMode="External"/><Relationship Id="rId305" Type="http://schemas.openxmlformats.org/officeDocument/2006/relationships/hyperlink" Target="https://www.rubio.vc/2021/10/12/exceeding-all-expectations-e110m-fund-raise-on-our-2nd-impact-fund/" TargetMode="External"/><Relationship Id="rId347" Type="http://schemas.openxmlformats.org/officeDocument/2006/relationships/hyperlink" Target="https://www.circularonline.co.uk/news/e490000-awarded-to-projects-to-promote-circular-economy-across-ireland/" TargetMode="External"/><Relationship Id="rId44" Type="http://schemas.openxmlformats.org/officeDocument/2006/relationships/hyperlink" Target="https://www.bdo.co.uk/en-gb/insights/advisory/mergers-and-acquisitions/circular-economy-series-waste-management-and-recycling" TargetMode="External"/><Relationship Id="rId86" Type="http://schemas.openxmlformats.org/officeDocument/2006/relationships/hyperlink" Target="https://www.ecppm2022.org/" TargetMode="External"/><Relationship Id="rId151" Type="http://schemas.openxmlformats.org/officeDocument/2006/relationships/hyperlink" Target="https://knowledge.insead.edu/operations/designing-a-circular-business-strategy-that-works-18491" TargetMode="External"/><Relationship Id="rId389" Type="http://schemas.openxmlformats.org/officeDocument/2006/relationships/hyperlink" Target="https://www.moneycab.com/startups/schweizweite-ausschreibung-fuer-early-stage-startups-aus-der-kreislaufwirtschaft-2/" TargetMode="External"/><Relationship Id="rId193" Type="http://schemas.openxmlformats.org/officeDocument/2006/relationships/hyperlink" Target="https://www.sitra.fi/en/news/rwanda-to-host-the-world-circular-economy-forum-2022/" TargetMode="External"/><Relationship Id="rId207" Type="http://schemas.openxmlformats.org/officeDocument/2006/relationships/hyperlink" Target="https://chronicle.lu/category/environment/39160-anti-food-waste-cooperative-launches-crowdfunding-campaign-to-open-1st-store" TargetMode="External"/><Relationship Id="rId249" Type="http://schemas.openxmlformats.org/officeDocument/2006/relationships/hyperlink" Target="https://www.closedlooppartners.com/closed-loop-partners-ventures-group-raises-50-million-fund-ii-to-help-scale-breakthrough-circular-economy-solutions/" TargetMode="External"/><Relationship Id="rId414" Type="http://schemas.openxmlformats.org/officeDocument/2006/relationships/hyperlink" Target="https://www.fnr.lu/projects/regional-approaches-towards-alternative-economies-and-sustainable-finance/" TargetMode="External"/><Relationship Id="rId13" Type="http://schemas.openxmlformats.org/officeDocument/2006/relationships/hyperlink" Target="https://gouvernement.lu/fr/actualites/toutes_actualites/communiques/2022/09-septembre/13-fayot-holzhaff.html" TargetMode="External"/><Relationship Id="rId109" Type="http://schemas.openxmlformats.org/officeDocument/2006/relationships/hyperlink" Target="https://www.theverge.com/2022/6/3/23153504/right-to-repair-new-york-state-law-ifixit-repairability-diy" TargetMode="External"/><Relationship Id="rId260" Type="http://schemas.openxmlformats.org/officeDocument/2006/relationships/hyperlink" Target="https://energyindemand.com/2021/11/19/to-meet-long-term-carbon-emissions-targets-we-must-stop-demolishing-buildings-should-start-using-the-carbon-spent-in-the-past-to-avoid-the-emission-of-more-in-the-present/" TargetMode="External"/><Relationship Id="rId316" Type="http://schemas.openxmlformats.org/officeDocument/2006/relationships/hyperlink" Target="https://cordis.europa.eu/article/id/430688-making-the-economy-of-europe-s-cities-more-circular" TargetMode="External"/><Relationship Id="rId55" Type="http://schemas.openxmlformats.org/officeDocument/2006/relationships/hyperlink" Target="https://wood.bybgr.eu/" TargetMode="External"/><Relationship Id="rId97" Type="http://schemas.openxmlformats.org/officeDocument/2006/relationships/hyperlink" Target="https://www.greenbiz.com/article/textile-recycling-tech-startup-triumphs-circularity-22s-accelerate-competition" TargetMode="External"/><Relationship Id="rId120" Type="http://schemas.openxmlformats.org/officeDocument/2006/relationships/hyperlink" Target="https://www.worldgbc.org/news-media/construction-leaders-across-europe-launch-eu-policy-roadmap-towards-climate-neutral" TargetMode="External"/><Relationship Id="rId358" Type="http://schemas.openxmlformats.org/officeDocument/2006/relationships/hyperlink" Target="https://www.congresbatimentdurable.com/lecongres/programme-cnbd9/" TargetMode="External"/><Relationship Id="rId162" Type="http://schemas.openxmlformats.org/officeDocument/2006/relationships/hyperlink" Target="https://www.offshorewind.biz/2022/03/17/first-fully-recyclable-wind-turbine-blade-rolls-out/" TargetMode="External"/><Relationship Id="rId218" Type="http://schemas.openxmlformats.org/officeDocument/2006/relationships/hyperlink" Target="https://www.construction21.org/france/articles/h/lancement-de-la-2e-edition-des-trophees-batiments-circulaires.html" TargetMode="External"/><Relationship Id="rId271" Type="http://schemas.openxmlformats.org/officeDocument/2006/relationships/hyperlink" Target="https://www.ecbf.vc/press-release-fourth-closing" TargetMode="External"/><Relationship Id="rId24" Type="http://schemas.openxmlformats.org/officeDocument/2006/relationships/hyperlink" Target="https://www.infogreen.lu/l-economie-du-partage-res-source-de-developpements.html" TargetMode="External"/><Relationship Id="rId66" Type="http://schemas.openxmlformats.org/officeDocument/2006/relationships/hyperlink" Target="https://www.circularonline.co.uk/news/teddy-journeys-around-the-uk-to-inspire-families-to-embrace-the-circular-economy/" TargetMode="External"/><Relationship Id="rId131" Type="http://schemas.openxmlformats.org/officeDocument/2006/relationships/hyperlink" Target="https://www.forbes.com/sites/annefield/2022/04/20/with-leonardo-dicaprio-as-an-advisor-45-million-circularregenerative-economy-fund-launches/?sh=5d6f6b9f5700" TargetMode="External"/><Relationship Id="rId327" Type="http://schemas.openxmlformats.org/officeDocument/2006/relationships/hyperlink" Target="https://www.lecourriersud.com/accompagnement-en-economie-circulaire-pour-les-entreprises/" TargetMode="External"/><Relationship Id="rId369" Type="http://schemas.openxmlformats.org/officeDocument/2006/relationships/hyperlink" Target="https://www.onlineev.com/electric-vehicles-recycled-batteries-and-the-search-for-a-circular-economy/" TargetMode="External"/><Relationship Id="rId173" Type="http://schemas.openxmlformats.org/officeDocument/2006/relationships/hyperlink" Target="https://www.canada.ca/en/innovation-science-economic-development/news/2022/03/government-of-canada-launches-call-to-action-targeting-industrial-decarbonization-of-high-emitting-sectors.html" TargetMode="External"/><Relationship Id="rId229" Type="http://schemas.openxmlformats.org/officeDocument/2006/relationships/hyperlink" Target="https://waste-management-world.com/artikel/the-ritz-carlton-collaborates-with-biogreen360-and-garick-to-develop-circular-solution-for-food-waste/" TargetMode="External"/><Relationship Id="rId380" Type="http://schemas.openxmlformats.org/officeDocument/2006/relationships/hyperlink" Target="https://cinea.ec.europa.eu/life/circular-economy-and-quality-life_en" TargetMode="External"/><Relationship Id="rId240" Type="http://schemas.openxmlformats.org/officeDocument/2006/relationships/hyperlink" Target="https://www.gov.ie/en/press-release/16a69-government-launches-irelands-first-whole-of-government-circular-economy-strategy/" TargetMode="External"/><Relationship Id="rId35" Type="http://schemas.openxmlformats.org/officeDocument/2006/relationships/hyperlink" Target="https://www.themanufacturer.com/articles/sage-study-emerging-tech-critical-to-manufacturers-embracing-the-circular-economy-whilst-facing-big-industry-challenges/" TargetMode="External"/><Relationship Id="rId77" Type="http://schemas.openxmlformats.org/officeDocument/2006/relationships/hyperlink" Target="https://newspress.com/california-shifts-recycling-costs-from-taxpayers-to-businesses/" TargetMode="External"/><Relationship Id="rId100" Type="http://schemas.openxmlformats.org/officeDocument/2006/relationships/hyperlink" Target="https://www.eongroup.co/" TargetMode="External"/><Relationship Id="rId282" Type="http://schemas.openxmlformats.org/officeDocument/2006/relationships/hyperlink" Target="https://www.lcce.lu/" TargetMode="External"/><Relationship Id="rId338" Type="http://schemas.openxmlformats.org/officeDocument/2006/relationships/hyperlink" Target="https://www.itpro.co.uk/business-operations/product-lifecycle-management-plm/360922/sap-product-sustainability-carbon-footprint" TargetMode="External"/><Relationship Id="rId8" Type="http://schemas.openxmlformats.org/officeDocument/2006/relationships/hyperlink" Target="https://www.circularonline.co.uk/news/hsbc-asset-management-launches-circular-economy-fund/" TargetMode="External"/><Relationship Id="rId142" Type="http://schemas.openxmlformats.org/officeDocument/2006/relationships/hyperlink" Target="https://sifted.eu/articles/bioeconomy-europes-biggest-hidden-opportunity/" TargetMode="External"/><Relationship Id="rId184" Type="http://schemas.openxmlformats.org/officeDocument/2006/relationships/hyperlink" Target="https://flexiblepackaginginitiative.eu/" TargetMode="External"/><Relationship Id="rId391" Type="http://schemas.openxmlformats.org/officeDocument/2006/relationships/hyperlink" Target="https://www.gov.ie/en/publication/89838-circular-economy-bill-2021/" TargetMode="External"/><Relationship Id="rId405" Type="http://schemas.openxmlformats.org/officeDocument/2006/relationships/hyperlink" Target="https://waste-management-world.com/a/us-plastics-pact-unveils-national-strategy-to-achieve-2025-circular-economy-goals" TargetMode="External"/><Relationship Id="rId251" Type="http://schemas.openxmlformats.org/officeDocument/2006/relationships/hyperlink" Target="https://www.wastedive.com/news/rheaply-garr-punnett-circular-economy-reuse-startup/609746/" TargetMode="External"/><Relationship Id="rId46" Type="http://schemas.openxmlformats.org/officeDocument/2006/relationships/hyperlink" Target="https://www.gov.ie/en/press-release/4546a-landmark-circular-economy-act-signed-into-law/" TargetMode="External"/><Relationship Id="rId293" Type="http://schemas.openxmlformats.org/officeDocument/2006/relationships/hyperlink" Target="https://www.prnewswire.com/news-releases/honeywell-introduces-revolutionary-plastics-recycling-technology-to-drive-a-circular-plastics-economy-301413530.html" TargetMode="External"/><Relationship Id="rId307" Type="http://schemas.openxmlformats.org/officeDocument/2006/relationships/hyperlink" Target="https://www.lenouvelliste.ch/articles/suisse/environnement-une-commission-veut-reduire-limpact-de-leconomie-en-suisse-1124880" TargetMode="External"/><Relationship Id="rId349" Type="http://schemas.openxmlformats.org/officeDocument/2006/relationships/hyperlink" Target="https://www.designboom.com/design/grohe-circular-economy-cradle-to-cradle-architonic-09-03-2021/" TargetMode="External"/><Relationship Id="rId88" Type="http://schemas.openxmlformats.org/officeDocument/2006/relationships/hyperlink" Target="https://iaac.net/maebb-voxel-quarantine-cabin/" TargetMode="External"/><Relationship Id="rId111" Type="http://schemas.openxmlformats.org/officeDocument/2006/relationships/hyperlink" Target="https://www.weforum.org/topics/circular-economy/" TargetMode="External"/><Relationship Id="rId153" Type="http://schemas.openxmlformats.org/officeDocument/2006/relationships/hyperlink" Target="https://innovationorigins.com/en/selected/building-a-high-tech-bridge-with-flax/" TargetMode="External"/><Relationship Id="rId195" Type="http://schemas.openxmlformats.org/officeDocument/2006/relationships/hyperlink" Target="https://www.reebelo.com/" TargetMode="External"/><Relationship Id="rId209" Type="http://schemas.openxmlformats.org/officeDocument/2006/relationships/hyperlink" Target="https://www.jokey.com/en/news-und-presse/presse/details/the-closed-loop-partnership-danish-impact-start-up-new-loop-cooperates-with-jokey/" TargetMode="External"/><Relationship Id="rId360" Type="http://schemas.openxmlformats.org/officeDocument/2006/relationships/hyperlink" Target="https://www.livingcircular.veolia.com/fr/inspirations/le-cheveu-recycle-une-nouvelle-ressource" TargetMode="External"/><Relationship Id="rId416" Type="http://schemas.openxmlformats.org/officeDocument/2006/relationships/hyperlink" Target="https://www.infogreen.lu/la-norme-circulaire-du-luxembourg-en-mode-iso.html" TargetMode="External"/><Relationship Id="rId220" Type="http://schemas.openxmlformats.org/officeDocument/2006/relationships/hyperlink" Target="https://www.springwise.com/innovation/fashion-beauty/plastic-free-biodegradable-alternative-to-leather" TargetMode="External"/><Relationship Id="rId15" Type="http://schemas.openxmlformats.org/officeDocument/2006/relationships/hyperlink" Target="https://www.weforum.org/agenda/2022/09/4-promising-digital-technologies-for-circular-construction/" TargetMode="External"/><Relationship Id="rId57" Type="http://schemas.openxmlformats.org/officeDocument/2006/relationships/hyperlink" Target="https://www.lcce.lu/" TargetMode="External"/><Relationship Id="rId262" Type="http://schemas.openxmlformats.org/officeDocument/2006/relationships/hyperlink" Target="https://urbact.eu/urge" TargetMode="External"/><Relationship Id="rId318" Type="http://schemas.openxmlformats.org/officeDocument/2006/relationships/hyperlink" Target="https://www.ecologie.gouv.fr/vers-fin-des-emballages-plastique-autour-des-fruits-et-legumes" TargetMode="External"/><Relationship Id="rId99" Type="http://schemas.openxmlformats.org/officeDocument/2006/relationships/hyperlink" Target="https://www.computerweekly.com/feature/IT-departments-need-holistic-circular-economies-to-fight-climate-change" TargetMode="External"/><Relationship Id="rId122" Type="http://schemas.openxmlformats.org/officeDocument/2006/relationships/hyperlink" Target="https://waset.org/circular-economy-and-sustainability-conference-in-june-2022-in-london" TargetMode="External"/><Relationship Id="rId164" Type="http://schemas.openxmlformats.org/officeDocument/2006/relationships/hyperlink" Target="https://verive.eu/en/articles/sup-in-nl-2022-update" TargetMode="External"/><Relationship Id="rId371" Type="http://schemas.openxmlformats.org/officeDocument/2006/relationships/hyperlink" Target="https://www.weforum.org/agenda/2021/07/repair-not-recycle-tackle-ewaste-circular-economy-smartphones/" TargetMode="External"/><Relationship Id="rId26" Type="http://schemas.openxmlformats.org/officeDocument/2006/relationships/hyperlink" Target="https://www.aumanufacturing.com.au/the-circular-economy-and-the-future-of-industry-and-economy-by-lance-worrall" TargetMode="External"/><Relationship Id="rId231" Type="http://schemas.openxmlformats.org/officeDocument/2006/relationships/hyperlink" Target="http://neobuild.lu/ressources/neomag" TargetMode="External"/><Relationship Id="rId273" Type="http://schemas.openxmlformats.org/officeDocument/2006/relationships/hyperlink" Target="https://www.fedil.lu/fr/press-releases/prixenvironnement2021/" TargetMode="External"/><Relationship Id="rId329" Type="http://schemas.openxmlformats.org/officeDocument/2006/relationships/hyperlink" Target="https://green-alley-award.com/apply/" TargetMode="External"/><Relationship Id="rId68" Type="http://schemas.openxmlformats.org/officeDocument/2006/relationships/hyperlink" Target="https://www.cbe.europa.eu/news/eu120-million-available-advancing-europes-circular-bioeconomy" TargetMode="External"/><Relationship Id="rId133" Type="http://schemas.openxmlformats.org/officeDocument/2006/relationships/hyperlink" Target="https://www.europarl.europa.eu/news/en/press-room/20220429IPR28233/circular-economy-meps-want-to-reduce-harmful-chemicals-in-waste" TargetMode="External"/><Relationship Id="rId175" Type="http://schemas.openxmlformats.org/officeDocument/2006/relationships/hyperlink" Target="https://www.closedlooppartners.com/closed-loop-partners-pledges-up-to-5-million-to-support-innovations-from-rrs-nextcycle-initiative/" TargetMode="External"/><Relationship Id="rId340" Type="http://schemas.openxmlformats.org/officeDocument/2006/relationships/hyperlink" Target="https://www.thredup.com/resale/" TargetMode="External"/><Relationship Id="rId200" Type="http://schemas.openxmlformats.org/officeDocument/2006/relationships/hyperlink" Target="https://www.espazium.ch/fr/actualites/et-si-coulait-de-la-terre-comme-du-beton" TargetMode="External"/><Relationship Id="rId382" Type="http://schemas.openxmlformats.org/officeDocument/2006/relationships/hyperlink" Target="https://cities-today.com/industry/prague-embraces-the-circular-economy/" TargetMode="External"/><Relationship Id="rId242" Type="http://schemas.openxmlformats.org/officeDocument/2006/relationships/hyperlink" Target="https://www.luxinnovation.lu/news/circular-by-design-challenge-12-projects-selected/" TargetMode="External"/><Relationship Id="rId284" Type="http://schemas.openxmlformats.org/officeDocument/2006/relationships/hyperlink" Target="https://www.electrive.com/2021/11/06/renault-plans-refactory-to-build-circular-ev-economy-in-spain/" TargetMode="External"/><Relationship Id="rId37" Type="http://schemas.openxmlformats.org/officeDocument/2006/relationships/hyperlink" Target="https://www.list.lu/en/research/project/fcrbe/" TargetMode="External"/><Relationship Id="rId79" Type="http://schemas.openxmlformats.org/officeDocument/2006/relationships/hyperlink" Target="https://www.privateequitywire.co.uk/2022/07/04/315785/algebris-holds-first-closing-green-transition-fund-eu200m" TargetMode="External"/><Relationship Id="rId102" Type="http://schemas.openxmlformats.org/officeDocument/2006/relationships/hyperlink" Target="https://www.asosplc.com/news/asos-launches-second-circular-design-collection-and-trial-partnership-thrift/" TargetMode="External"/><Relationship Id="rId144" Type="http://schemas.openxmlformats.org/officeDocument/2006/relationships/hyperlink" Target="https://nvlpubs.nist.gov/nistpubs/SpecialPublications/NIST.SP.1500-207.pdf" TargetMode="External"/><Relationship Id="rId90" Type="http://schemas.openxmlformats.org/officeDocument/2006/relationships/hyperlink" Target="https://english.news.cn/20220510/edf1b95d1933440ba4da89bbbcc4f6d4/c.html" TargetMode="External"/><Relationship Id="rId186" Type="http://schemas.openxmlformats.org/officeDocument/2006/relationships/hyperlink" Target="https://www.eesc.europa.eu/en/news-media/news/circular-economy-key-contributor-eus-strategic-autonomy" TargetMode="External"/><Relationship Id="rId351" Type="http://schemas.openxmlformats.org/officeDocument/2006/relationships/hyperlink" Target="https://www.veolia.co.uk/press-releases/groupe-renault-veolia-solvay-join-forces-recycle-end-life-ev-battery-metals-closed" TargetMode="External"/><Relationship Id="rId393" Type="http://schemas.openxmlformats.org/officeDocument/2006/relationships/hyperlink" Target="https://www.fastcompany.com/90648739/lego-just-found-a-way-to-build-its-specialized-bricks-out-of-recycled-plastic" TargetMode="External"/><Relationship Id="rId407" Type="http://schemas.openxmlformats.org/officeDocument/2006/relationships/hyperlink" Target="https://www.infogreen.lu/beau-succes-pour-la-robin-loop.html" TargetMode="External"/><Relationship Id="rId211" Type="http://schemas.openxmlformats.org/officeDocument/2006/relationships/hyperlink" Target="https://www.sciencedirect.com/science/article/pii/S095965262200258X?via%3Dihub" TargetMode="External"/><Relationship Id="rId253" Type="http://schemas.openxmlformats.org/officeDocument/2006/relationships/hyperlink" Target="https://www.theguardian.com/environment/2021/nov/26/every-tree-counts-amsterdam-forest-leads-way-with-sapling-donation-plan" TargetMode="External"/><Relationship Id="rId295" Type="http://schemas.openxmlformats.org/officeDocument/2006/relationships/hyperlink" Target="https://mattereum.com/cop26/" TargetMode="External"/><Relationship Id="rId309" Type="http://schemas.openxmlformats.org/officeDocument/2006/relationships/hyperlink" Target="https://www.infrachainsummit.com/agenda" TargetMode="External"/><Relationship Id="rId48" Type="http://schemas.openxmlformats.org/officeDocument/2006/relationships/hyperlink" Target="https://www.labiotech.eu/trends-news/zero-waste-startup-plant-extract-gavan-israel-protein-waste-free/" TargetMode="External"/><Relationship Id="rId113" Type="http://schemas.openxmlformats.org/officeDocument/2006/relationships/hyperlink" Target="https://www.weforum.org/agenda/2022/05/the-circular-economy-how-it-can-be-a-path-to-real-change/" TargetMode="External"/><Relationship Id="rId320" Type="http://schemas.openxmlformats.org/officeDocument/2006/relationships/hyperlink" Target="https://retailtechinnovationhub.com/home/2021/10/5/upwest-and-recircled-enlist-avery-dennison-for-circular-economy-push" TargetMode="External"/><Relationship Id="rId155" Type="http://schemas.openxmlformats.org/officeDocument/2006/relationships/hyperlink" Target="https://www.recircle.ch/en/news" TargetMode="External"/><Relationship Id="rId197" Type="http://schemas.openxmlformats.org/officeDocument/2006/relationships/hyperlink" Target="https://www.brightlands.com/en/brightlands-chemelot-campus/news/96-million-euros-boost-transition-circular-economy" TargetMode="External"/><Relationship Id="rId362" Type="http://schemas.openxmlformats.org/officeDocument/2006/relationships/hyperlink" Target="https://www.theguardian.com/environment/2021/may/29/hair-waste-from-salons-recycled-to-mop-up-oil-spills" TargetMode="External"/><Relationship Id="rId418" Type="http://schemas.openxmlformats.org/officeDocument/2006/relationships/hyperlink" Target="https://www.legifrance.gouv.fr/jorf/id/JORFTEXT000043704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V507"/>
  <sheetViews>
    <sheetView tabSelected="1" workbookViewId="0">
      <pane ySplit="1" topLeftCell="A503" activePane="bottomLeft" state="frozen"/>
      <selection pane="bottomLeft" sqref="A1:H507"/>
    </sheetView>
  </sheetViews>
  <sheetFormatPr defaultColWidth="12.6328125" defaultRowHeight="12.5"/>
  <cols>
    <col min="1" max="1" width="17.453125" style="6" customWidth="1"/>
    <col min="2" max="2" width="21" style="6" customWidth="1"/>
    <col min="3" max="3" width="38.08984375" style="6" customWidth="1"/>
    <col min="4" max="4" width="91.453125" style="6" customWidth="1"/>
    <col min="5" max="5" width="22.08984375" style="6" customWidth="1"/>
    <col min="6" max="6" width="20.6328125" style="6" customWidth="1"/>
    <col min="7" max="7" width="21.36328125" style="6" customWidth="1"/>
    <col min="8" max="8" width="22" style="6" customWidth="1"/>
    <col min="9" max="22" width="47.08984375" style="6" customWidth="1"/>
    <col min="23" max="16384" width="12.6328125" style="6"/>
  </cols>
  <sheetData>
    <row r="1" spans="1:22" ht="14">
      <c r="A1" s="7" t="s">
        <v>0</v>
      </c>
      <c r="B1" s="8" t="s">
        <v>1</v>
      </c>
      <c r="C1" s="8" t="s">
        <v>2</v>
      </c>
      <c r="D1" s="8" t="s">
        <v>3</v>
      </c>
      <c r="E1" s="8" t="s">
        <v>4</v>
      </c>
      <c r="F1" s="9"/>
      <c r="G1" s="10"/>
      <c r="H1" s="10"/>
      <c r="I1" s="1"/>
      <c r="J1" s="2"/>
      <c r="K1" s="2"/>
      <c r="L1" s="2"/>
      <c r="M1" s="2"/>
      <c r="N1" s="2"/>
      <c r="O1" s="2"/>
      <c r="P1" s="2"/>
      <c r="Q1" s="2"/>
      <c r="R1" s="2"/>
      <c r="S1" s="2"/>
      <c r="T1" s="2"/>
      <c r="U1" s="2"/>
      <c r="V1" s="2"/>
    </row>
    <row r="2" spans="1:22" ht="87.5">
      <c r="A2" s="11">
        <v>45261.041666666672</v>
      </c>
      <c r="B2" s="12" t="s">
        <v>5</v>
      </c>
      <c r="C2" s="12" t="s">
        <v>6</v>
      </c>
      <c r="D2" s="12" t="s">
        <v>7</v>
      </c>
      <c r="E2" s="13" t="str">
        <f>HYPERLINK("https://environnement.brussels/pro/news/2023/deux-nouveaux-outils-pour-concevoir-un-batiment-reversible-et-circulaire?","Bruxelles Environnement")</f>
        <v>Bruxelles Environnement</v>
      </c>
      <c r="F2" s="14"/>
      <c r="G2" s="15"/>
      <c r="H2" s="15"/>
      <c r="I2" s="3"/>
      <c r="J2" s="4"/>
      <c r="K2" s="4"/>
      <c r="L2" s="4"/>
      <c r="M2" s="4"/>
      <c r="N2" s="4"/>
      <c r="O2" s="4"/>
      <c r="P2" s="4"/>
      <c r="Q2" s="4"/>
      <c r="R2" s="4"/>
      <c r="S2" s="4"/>
      <c r="T2" s="4"/>
      <c r="U2" s="4"/>
      <c r="V2" s="4"/>
    </row>
    <row r="3" spans="1:22" ht="150">
      <c r="A3" s="11">
        <v>45261.041666666672</v>
      </c>
      <c r="B3" s="12" t="s">
        <v>5</v>
      </c>
      <c r="C3" s="12" t="s">
        <v>8</v>
      </c>
      <c r="D3" s="12" t="s">
        <v>9</v>
      </c>
      <c r="E3" s="13" t="str">
        <f>HYPERLINK("https://environnement.brussels/pro/news/2023/le-projet-fcrbe-promotion-du-reemploi-des-materiaux-de-construction","Bruxelles Environnement")</f>
        <v>Bruxelles Environnement</v>
      </c>
      <c r="F3" s="16" t="str">
        <f>HYPERLINK("https://www.list.lu/fr/recherche/projet/fcrbe/","LIST ")</f>
        <v xml:space="preserve">LIST </v>
      </c>
      <c r="G3" s="15"/>
      <c r="H3" s="15"/>
      <c r="I3" s="3"/>
      <c r="J3" s="4"/>
      <c r="K3" s="4"/>
      <c r="L3" s="4"/>
      <c r="M3" s="4"/>
      <c r="N3" s="4"/>
      <c r="O3" s="4"/>
      <c r="P3" s="4"/>
      <c r="Q3" s="4"/>
      <c r="R3" s="4"/>
      <c r="S3" s="4"/>
      <c r="T3" s="4"/>
      <c r="U3" s="4"/>
      <c r="V3" s="4"/>
    </row>
    <row r="4" spans="1:22" ht="75">
      <c r="A4" s="11">
        <v>45261.041666666672</v>
      </c>
      <c r="B4" s="12" t="s">
        <v>5</v>
      </c>
      <c r="C4" s="12" t="s">
        <v>10</v>
      </c>
      <c r="D4" s="12" t="s">
        <v>11</v>
      </c>
      <c r="E4" s="13" t="str">
        <f>HYPERLINK("https://www.circularonline.co.uk/news/reuse-could-eliminate-1-trillion-single-use-plastic-bottles-report/","Circular")</f>
        <v>Circular</v>
      </c>
      <c r="F4" s="16" t="str">
        <f>HYPERLINK("https://oceana.org/press-releases/report-switching-to-reusable-packaging-could-eliminate-1-trillion-single-use-plastic-bottles-and-cups/","Oceana")</f>
        <v>Oceana</v>
      </c>
      <c r="G4" s="15"/>
      <c r="H4" s="15"/>
      <c r="I4" s="3"/>
      <c r="J4" s="4"/>
      <c r="K4" s="4"/>
      <c r="L4" s="4"/>
      <c r="M4" s="4"/>
      <c r="N4" s="4"/>
      <c r="O4" s="4"/>
      <c r="P4" s="4"/>
      <c r="Q4" s="4"/>
      <c r="R4" s="4"/>
      <c r="S4" s="4"/>
      <c r="T4" s="4"/>
      <c r="U4" s="4"/>
      <c r="V4" s="4"/>
    </row>
    <row r="5" spans="1:22" ht="137.5">
      <c r="A5" s="11">
        <v>45261.041666666672</v>
      </c>
      <c r="B5" s="12" t="s">
        <v>5</v>
      </c>
      <c r="C5" s="12" t="s">
        <v>12</v>
      </c>
      <c r="D5" s="12" t="s">
        <v>13</v>
      </c>
      <c r="E5" s="13" t="str">
        <f>HYPERLINK("https://www.infogreen.lu/time-to-be-lean-la-sobriete-dans-la-conception-des-batiments-22107.html","Info Green")</f>
        <v>Info Green</v>
      </c>
      <c r="F5" s="14"/>
      <c r="G5" s="15"/>
      <c r="H5" s="15"/>
      <c r="I5" s="3"/>
      <c r="J5" s="4"/>
      <c r="K5" s="4"/>
      <c r="L5" s="4"/>
      <c r="M5" s="4"/>
      <c r="N5" s="4"/>
      <c r="O5" s="4"/>
      <c r="P5" s="4"/>
      <c r="Q5" s="4"/>
      <c r="R5" s="4"/>
      <c r="S5" s="4"/>
      <c r="T5" s="4"/>
      <c r="U5" s="4"/>
      <c r="V5" s="4"/>
    </row>
    <row r="6" spans="1:22" ht="87.5">
      <c r="A6" s="11">
        <v>45261.041666666672</v>
      </c>
      <c r="B6" s="12" t="s">
        <v>14</v>
      </c>
      <c r="C6" s="12" t="s">
        <v>15</v>
      </c>
      <c r="D6" s="12" t="s">
        <v>16</v>
      </c>
      <c r="E6" s="13" t="str">
        <f>HYPERLINK("https://www.positive.news/environment/the-startups-reinventing-notoriously-hard-to-recycle-items/","Positive News")</f>
        <v>Positive News</v>
      </c>
      <c r="F6" s="16" t="str">
        <f>HYPERLINK("https://green-alley-award.com/green-alley-award-2024-applications-a-record-breaking-year-in-numbers/","Green Alley Award")</f>
        <v>Green Alley Award</v>
      </c>
      <c r="G6" s="15"/>
      <c r="H6" s="15"/>
      <c r="I6" s="3"/>
      <c r="J6" s="4"/>
      <c r="K6" s="4"/>
      <c r="L6" s="4"/>
      <c r="M6" s="4"/>
      <c r="N6" s="4"/>
      <c r="O6" s="4"/>
      <c r="P6" s="4"/>
      <c r="Q6" s="4"/>
      <c r="R6" s="4"/>
      <c r="S6" s="4"/>
      <c r="T6" s="4"/>
      <c r="U6" s="4"/>
      <c r="V6" s="4"/>
    </row>
    <row r="7" spans="1:22" ht="100">
      <c r="A7" s="11">
        <v>45261.041666666672</v>
      </c>
      <c r="B7" s="12" t="s">
        <v>14</v>
      </c>
      <c r="C7" s="12" t="s">
        <v>17</v>
      </c>
      <c r="D7" s="12" t="s">
        <v>18</v>
      </c>
      <c r="E7" s="13" t="str">
        <f>HYPERLINK("https://www.circularonline.co.uk/news/funding-announced-for-heat-network-using-waste-heat-from-data-centres/","Circular")</f>
        <v>Circular</v>
      </c>
      <c r="F7" s="16" t="str">
        <f>HYPERLINK("https://www.coolingpost.com/world-news/data-centre-heat-recovery-with-r1234ze-heat-pumps/","Cooling Post")</f>
        <v>Cooling Post</v>
      </c>
      <c r="G7" s="15"/>
      <c r="H7" s="15"/>
      <c r="I7" s="3"/>
      <c r="J7" s="4"/>
      <c r="K7" s="4"/>
      <c r="L7" s="4"/>
      <c r="M7" s="4"/>
      <c r="N7" s="4"/>
      <c r="O7" s="4"/>
      <c r="P7" s="4"/>
      <c r="Q7" s="4"/>
      <c r="R7" s="4"/>
      <c r="S7" s="4"/>
      <c r="T7" s="4"/>
      <c r="U7" s="4"/>
      <c r="V7" s="4"/>
    </row>
    <row r="8" spans="1:22" ht="100">
      <c r="A8" s="11">
        <v>45261.041666666672</v>
      </c>
      <c r="B8" s="12" t="s">
        <v>14</v>
      </c>
      <c r="C8" s="12" t="s">
        <v>19</v>
      </c>
      <c r="D8" s="12" t="s">
        <v>20</v>
      </c>
      <c r="E8" s="13" t="str">
        <f>HYPERLINK("https://www.infogreen.lu/les-1ers-panneaux-photovoltaiques-luxembourgeois-bientot-prets-a-sortir-d-usine.html","Info Green")</f>
        <v>Info Green</v>
      </c>
      <c r="F8" s="14"/>
      <c r="G8" s="15"/>
      <c r="H8" s="15"/>
      <c r="I8" s="3"/>
      <c r="J8" s="4"/>
      <c r="K8" s="4"/>
      <c r="L8" s="4"/>
      <c r="M8" s="4"/>
      <c r="N8" s="4"/>
      <c r="O8" s="4"/>
      <c r="P8" s="4"/>
      <c r="Q8" s="4"/>
      <c r="R8" s="4"/>
      <c r="S8" s="4"/>
      <c r="T8" s="4"/>
      <c r="U8" s="4"/>
      <c r="V8" s="4"/>
    </row>
    <row r="9" spans="1:22" ht="75">
      <c r="A9" s="11">
        <v>45261.041666666672</v>
      </c>
      <c r="B9" s="12" t="s">
        <v>21</v>
      </c>
      <c r="C9" s="12" t="s">
        <v>22</v>
      </c>
      <c r="D9" s="12" t="s">
        <v>23</v>
      </c>
      <c r="E9" s="13" t="str">
        <f>HYPERLINK("https://circulareconomy.europa.eu/platform/en/news-and-events/all-news/calling-regions-ambition-develop-sustainable-bio-based-economy","European Circular Economy Stakeholder Platform")</f>
        <v>European Circular Economy Stakeholder Platform</v>
      </c>
      <c r="F9" s="14"/>
      <c r="G9" s="15"/>
      <c r="H9" s="15"/>
      <c r="I9" s="3"/>
      <c r="J9" s="4"/>
      <c r="K9" s="4"/>
      <c r="L9" s="4"/>
      <c r="M9" s="4"/>
      <c r="N9" s="4"/>
      <c r="O9" s="4"/>
      <c r="P9" s="4"/>
      <c r="Q9" s="4"/>
      <c r="R9" s="4"/>
      <c r="S9" s="4"/>
      <c r="T9" s="4"/>
      <c r="U9" s="4"/>
      <c r="V9" s="4"/>
    </row>
    <row r="10" spans="1:22" ht="100">
      <c r="A10" s="11">
        <v>45261.041666666672</v>
      </c>
      <c r="B10" s="12" t="s">
        <v>24</v>
      </c>
      <c r="C10" s="12" t="s">
        <v>25</v>
      </c>
      <c r="D10" s="12" t="s">
        <v>26</v>
      </c>
      <c r="E10" s="13" t="str">
        <f>HYPERLINK("https://www.euractiv.com/section/energy-environment/news/parliament-votes-to-water-down-eus-packaging-waste-law/","Euractiv")</f>
        <v>Euractiv</v>
      </c>
      <c r="F10" s="16" t="str">
        <f>HYPERLINK("https://www.circularonline.co.uk/news/eu-packaging-vote-labelled-missed-opportunity/","Circular")</f>
        <v>Circular</v>
      </c>
      <c r="G10" s="17" t="str">
        <f>HYPERLINK("https://www.euractiv.com/section/climate-environment/news/what-is-the-impact-of-packaging-on-our-forests/","Euractiv")</f>
        <v>Euractiv</v>
      </c>
      <c r="H10" s="15"/>
      <c r="I10" s="3"/>
      <c r="J10" s="4"/>
      <c r="K10" s="4"/>
      <c r="L10" s="4"/>
      <c r="M10" s="4"/>
      <c r="N10" s="4"/>
      <c r="O10" s="4"/>
      <c r="P10" s="4"/>
      <c r="Q10" s="4"/>
      <c r="R10" s="4"/>
      <c r="S10" s="4"/>
      <c r="T10" s="4"/>
      <c r="U10" s="4"/>
      <c r="V10" s="4"/>
    </row>
    <row r="11" spans="1:22" ht="87.5">
      <c r="A11" s="11">
        <v>45261.041666666672</v>
      </c>
      <c r="B11" s="12" t="s">
        <v>24</v>
      </c>
      <c r="C11" s="12" t="s">
        <v>27</v>
      </c>
      <c r="D11" s="12" t="s">
        <v>28</v>
      </c>
      <c r="E11" s="13" t="str">
        <f>HYPERLINK("https://www.euractiv.com/section/circular-materials/news/eu-readies-new-recycling-goals-for-permanent-magnets-in-white-goods-wind-turbines/","Euractiv")</f>
        <v>Euractiv</v>
      </c>
      <c r="F11" s="14"/>
      <c r="G11" s="15"/>
      <c r="H11" s="15"/>
      <c r="I11" s="3"/>
      <c r="J11" s="4"/>
      <c r="K11" s="4"/>
      <c r="L11" s="4"/>
      <c r="M11" s="4"/>
      <c r="N11" s="4"/>
      <c r="O11" s="4"/>
      <c r="P11" s="4"/>
      <c r="Q11" s="4"/>
      <c r="R11" s="4"/>
      <c r="S11" s="4"/>
      <c r="T11" s="4"/>
      <c r="U11" s="4"/>
      <c r="V11" s="4"/>
    </row>
    <row r="12" spans="1:22" ht="75">
      <c r="A12" s="11">
        <v>45261.041666666672</v>
      </c>
      <c r="B12" s="12" t="s">
        <v>29</v>
      </c>
      <c r="C12" s="12" t="s">
        <v>30</v>
      </c>
      <c r="D12" s="12" t="s">
        <v>31</v>
      </c>
      <c r="E12" s="13" t="str">
        <f>HYPERLINK("https://circulareconomy.europa.eu/platform/en/news-and-events/all-news/horizon-europe-2024-calls-proposals-eur-120-million-available-ri-circular-economy","European Circular Economy Stakeholder Platform")</f>
        <v>European Circular Economy Stakeholder Platform</v>
      </c>
      <c r="F12" s="14"/>
      <c r="G12" s="15"/>
      <c r="H12" s="15"/>
      <c r="I12" s="3"/>
      <c r="J12" s="4"/>
      <c r="K12" s="4"/>
      <c r="L12" s="4"/>
      <c r="M12" s="4"/>
      <c r="N12" s="4"/>
      <c r="O12" s="4"/>
      <c r="P12" s="4"/>
      <c r="Q12" s="4"/>
      <c r="R12" s="4"/>
      <c r="S12" s="4"/>
      <c r="T12" s="4"/>
      <c r="U12" s="4"/>
      <c r="V12" s="4"/>
    </row>
    <row r="13" spans="1:22" ht="100">
      <c r="A13" s="11">
        <v>45261.041666666672</v>
      </c>
      <c r="B13" s="12" t="s">
        <v>32</v>
      </c>
      <c r="C13" s="12" t="s">
        <v>33</v>
      </c>
      <c r="D13" s="12" t="s">
        <v>34</v>
      </c>
      <c r="E13" s="13" t="str">
        <f>HYPERLINK("https://terramatters.net/fr/accueil","Terra Matters")</f>
        <v>Terra Matters</v>
      </c>
      <c r="F13" s="16" t="str">
        <f>HYPERLINK("https://paperjam.lu/article/promoting-the-circular-economy","Paperjam")</f>
        <v>Paperjam</v>
      </c>
      <c r="G13" s="15"/>
      <c r="H13" s="15"/>
      <c r="I13" s="3"/>
      <c r="J13" s="4"/>
      <c r="K13" s="4"/>
      <c r="L13" s="4"/>
      <c r="M13" s="4"/>
      <c r="N13" s="4"/>
      <c r="O13" s="4"/>
      <c r="P13" s="4"/>
      <c r="Q13" s="4"/>
      <c r="R13" s="4"/>
      <c r="S13" s="4"/>
      <c r="T13" s="4"/>
      <c r="U13" s="4"/>
      <c r="V13" s="4"/>
    </row>
    <row r="14" spans="1:22" ht="87.5">
      <c r="A14" s="11">
        <v>45261.041666666672</v>
      </c>
      <c r="B14" s="12" t="s">
        <v>32</v>
      </c>
      <c r="C14" s="12" t="s">
        <v>35</v>
      </c>
      <c r="D14" s="12" t="s">
        <v>36</v>
      </c>
      <c r="E14" s="13" t="str">
        <f>HYPERLINK("https://klima.lu/","klima.lu")</f>
        <v>klima.lu</v>
      </c>
      <c r="F14" s="16" t="str">
        <f>HYPERLINK("https://www.infogreen.lu/le-nouveau-site-web-www-klima-lu-est-en-ligne.html","Info Green")</f>
        <v>Info Green</v>
      </c>
      <c r="G14" s="15"/>
      <c r="H14" s="15"/>
      <c r="I14" s="3"/>
      <c r="J14" s="4"/>
      <c r="K14" s="4"/>
      <c r="L14" s="4"/>
      <c r="M14" s="4"/>
      <c r="N14" s="4"/>
      <c r="O14" s="4"/>
      <c r="P14" s="4"/>
      <c r="Q14" s="4"/>
      <c r="R14" s="4"/>
      <c r="S14" s="4"/>
      <c r="T14" s="4"/>
      <c r="U14" s="4"/>
      <c r="V14" s="4"/>
    </row>
    <row r="15" spans="1:22" ht="75">
      <c r="A15" s="11">
        <v>45261.041666666672</v>
      </c>
      <c r="B15" s="12" t="s">
        <v>32</v>
      </c>
      <c r="C15" s="12" t="s">
        <v>37</v>
      </c>
      <c r="D15" s="12" t="s">
        <v>38</v>
      </c>
      <c r="E15" s="13" t="str">
        <f>HYPERLINK("https://formations.cdm.lu/fr/formation-continue/formations","Chambre des Métiers")</f>
        <v>Chambre des Métiers</v>
      </c>
      <c r="F15" s="16" t="str">
        <f>HYPERLINK("https://www.infogreen.lu/chambre-des-metiers-luxembourg-les-formations-de-la-decarbonation-22157.html","Info Green")</f>
        <v>Info Green</v>
      </c>
      <c r="G15" s="15"/>
      <c r="H15" s="15"/>
      <c r="I15" s="3"/>
      <c r="J15" s="4"/>
      <c r="K15" s="4"/>
      <c r="L15" s="4"/>
      <c r="M15" s="4"/>
      <c r="N15" s="4"/>
      <c r="O15" s="4"/>
      <c r="P15" s="4"/>
      <c r="Q15" s="4"/>
      <c r="R15" s="4"/>
      <c r="S15" s="4"/>
      <c r="T15" s="4"/>
      <c r="U15" s="4"/>
      <c r="V15" s="4"/>
    </row>
    <row r="16" spans="1:22" ht="62.5">
      <c r="A16" s="11">
        <v>45261.041666666672</v>
      </c>
      <c r="B16" s="12" t="s">
        <v>32</v>
      </c>
      <c r="C16" s="12" t="s">
        <v>39</v>
      </c>
      <c r="D16" s="12" t="s">
        <v>40</v>
      </c>
      <c r="E16" s="13" t="str">
        <f>HYPERLINK("https://circulareconomy.europa.eu/platform/en/news-and-events/all-news/how-does-your-organisation-support-circular-economy-take-survey-help-build-practical-community","European Circular Economy Stakeholder Platform")</f>
        <v>European Circular Economy Stakeholder Platform</v>
      </c>
      <c r="F16" s="14"/>
      <c r="G16" s="15"/>
      <c r="H16" s="15"/>
      <c r="I16" s="3"/>
      <c r="J16" s="4"/>
      <c r="K16" s="4"/>
      <c r="L16" s="4"/>
      <c r="M16" s="4"/>
      <c r="N16" s="4"/>
      <c r="O16" s="4"/>
      <c r="P16" s="4"/>
      <c r="Q16" s="4"/>
      <c r="R16" s="4"/>
      <c r="S16" s="4"/>
      <c r="T16" s="4"/>
      <c r="U16" s="4"/>
      <c r="V16" s="4"/>
    </row>
    <row r="17" spans="1:22" ht="62.5">
      <c r="A17" s="11">
        <v>45231.041666666672</v>
      </c>
      <c r="B17" s="12" t="s">
        <v>5</v>
      </c>
      <c r="C17" s="12" t="s">
        <v>41</v>
      </c>
      <c r="D17" s="12" t="s">
        <v>42</v>
      </c>
      <c r="E17" s="13" t="str">
        <f>HYPERLINK("https://www.acpresse.fr/lafarge-premiere-europe-economie-circulaire/","AC Presse")</f>
        <v>AC Presse</v>
      </c>
      <c r="F17" s="16" t="str">
        <f>HYPERLINK("https://www.holcim.com/what-we-do/our-building-solutions/ecocycle","Holcim")</f>
        <v>Holcim</v>
      </c>
      <c r="G17" s="15"/>
      <c r="H17" s="15"/>
      <c r="I17" s="3"/>
      <c r="J17" s="4"/>
      <c r="K17" s="4"/>
      <c r="L17" s="4"/>
      <c r="M17" s="4"/>
      <c r="N17" s="4"/>
      <c r="O17" s="4"/>
      <c r="P17" s="4"/>
      <c r="Q17" s="4"/>
      <c r="R17" s="4"/>
      <c r="S17" s="4"/>
      <c r="T17" s="4"/>
      <c r="U17" s="4"/>
      <c r="V17" s="4"/>
    </row>
    <row r="18" spans="1:22" ht="62.5">
      <c r="A18" s="11">
        <v>45231.041666666672</v>
      </c>
      <c r="B18" s="12" t="s">
        <v>5</v>
      </c>
      <c r="C18" s="12" t="s">
        <v>43</v>
      </c>
      <c r="D18" s="12" t="s">
        <v>44</v>
      </c>
      <c r="E18" s="13" t="str">
        <f>HYPERLINK("https://www.mrw.co.uk/news/mace-construction-urges-london-to-close-the-circle-27-10-2023/","MRW")</f>
        <v>MRW</v>
      </c>
      <c r="F18" s="16" t="str">
        <f>HYPERLINK("https://www.macegroup.com/perspectives/circularity-closing-the-circle","MACE Group")</f>
        <v>MACE Group</v>
      </c>
      <c r="G18" s="15"/>
      <c r="H18" s="15"/>
      <c r="I18" s="3"/>
      <c r="J18" s="4"/>
      <c r="K18" s="4"/>
      <c r="L18" s="4"/>
      <c r="M18" s="4"/>
      <c r="N18" s="4"/>
      <c r="O18" s="4"/>
      <c r="P18" s="4"/>
      <c r="Q18" s="4"/>
      <c r="R18" s="4"/>
      <c r="S18" s="4"/>
      <c r="T18" s="4"/>
      <c r="U18" s="4"/>
      <c r="V18" s="4"/>
    </row>
    <row r="19" spans="1:22" ht="62.5">
      <c r="A19" s="11">
        <v>45231.041666666672</v>
      </c>
      <c r="B19" s="12" t="s">
        <v>5</v>
      </c>
      <c r="C19" s="12" t="s">
        <v>45</v>
      </c>
      <c r="D19" s="12" t="s">
        <v>46</v>
      </c>
      <c r="E19" s="13" t="str">
        <f>HYPERLINK("https://www.ellenmacarthurfoundation.org/news/now-live-the-global-commitment-five-years-in-paper","Ellen MacArthur Foundation")</f>
        <v>Ellen MacArthur Foundation</v>
      </c>
      <c r="F19" s="14"/>
      <c r="G19" s="15"/>
      <c r="H19" s="15"/>
      <c r="I19" s="3"/>
      <c r="J19" s="4"/>
      <c r="K19" s="4"/>
      <c r="L19" s="4"/>
      <c r="M19" s="4"/>
      <c r="N19" s="4"/>
      <c r="O19" s="4"/>
      <c r="P19" s="4"/>
      <c r="Q19" s="4"/>
      <c r="R19" s="4"/>
      <c r="S19" s="4"/>
      <c r="T19" s="4"/>
      <c r="U19" s="4"/>
      <c r="V19" s="4"/>
    </row>
    <row r="20" spans="1:22" ht="100">
      <c r="A20" s="11">
        <v>45231.041666666672</v>
      </c>
      <c r="B20" s="12" t="s">
        <v>5</v>
      </c>
      <c r="C20" s="12" t="s">
        <v>47</v>
      </c>
      <c r="D20" s="12" t="s">
        <v>48</v>
      </c>
      <c r="E20" s="13" t="str">
        <f>HYPERLINK("https://apparelresources.com/technology-news/manufacturing-tech/worn-technologies-continues-enabling-circular-economy-switzerland/","Apparel Resources")</f>
        <v>Apparel Resources</v>
      </c>
      <c r="F20" s="16" t="str">
        <f>HYPERLINK("https://wornagain.co.uk/about-us/#technology","Worn Again ")</f>
        <v xml:space="preserve">Worn Again </v>
      </c>
      <c r="G20" s="15"/>
      <c r="H20" s="15"/>
      <c r="I20" s="3"/>
      <c r="J20" s="4"/>
      <c r="K20" s="4"/>
      <c r="L20" s="4"/>
      <c r="M20" s="4"/>
      <c r="N20" s="4"/>
      <c r="O20" s="4"/>
      <c r="P20" s="4"/>
      <c r="Q20" s="4"/>
      <c r="R20" s="4"/>
      <c r="S20" s="4"/>
      <c r="T20" s="4"/>
      <c r="U20" s="4"/>
      <c r="V20" s="4"/>
    </row>
    <row r="21" spans="1:22" ht="62.5">
      <c r="A21" s="11">
        <v>45231.041666666672</v>
      </c>
      <c r="B21" s="12" t="s">
        <v>14</v>
      </c>
      <c r="C21" s="12" t="s">
        <v>49</v>
      </c>
      <c r="D21" s="12" t="s">
        <v>50</v>
      </c>
      <c r="E21" s="13" t="str">
        <f>HYPERLINK("https://www.retailgazette.co.uk/blog/2023/10/currys-repair-shop/","Retail Gazette")</f>
        <v>Retail Gazette</v>
      </c>
      <c r="F21" s="14"/>
      <c r="G21" s="15"/>
      <c r="H21" s="15"/>
      <c r="I21" s="3"/>
      <c r="J21" s="4"/>
      <c r="K21" s="4"/>
      <c r="L21" s="4"/>
      <c r="M21" s="4"/>
      <c r="N21" s="4"/>
      <c r="O21" s="4"/>
      <c r="P21" s="4"/>
      <c r="Q21" s="4"/>
      <c r="R21" s="4"/>
      <c r="S21" s="4"/>
      <c r="T21" s="4"/>
      <c r="U21" s="4"/>
      <c r="V21" s="4"/>
    </row>
    <row r="22" spans="1:22" ht="62.5">
      <c r="A22" s="11">
        <v>45231.041666666672</v>
      </c>
      <c r="B22" s="12" t="s">
        <v>21</v>
      </c>
      <c r="C22" s="12" t="s">
        <v>51</v>
      </c>
      <c r="D22" s="12" t="s">
        <v>52</v>
      </c>
      <c r="E22" s="13" t="str">
        <f>HYPERLINK("https://vegconomist.com/materials/algenesis-5m-biodegradable-plastic-made-algae-scale/","Vegconomist")</f>
        <v>Vegconomist</v>
      </c>
      <c r="F22" s="16" t="str">
        <f>HYPERLINK("https://www.algenesismaterials.com/soleic-technology","Algenesis")</f>
        <v>Algenesis</v>
      </c>
      <c r="G22" s="15"/>
      <c r="H22" s="15"/>
      <c r="I22" s="3"/>
      <c r="J22" s="4"/>
      <c r="K22" s="4"/>
      <c r="L22" s="4"/>
      <c r="M22" s="4"/>
      <c r="N22" s="4"/>
      <c r="O22" s="4"/>
      <c r="P22" s="4"/>
      <c r="Q22" s="4"/>
      <c r="R22" s="4"/>
      <c r="S22" s="4"/>
      <c r="T22" s="4"/>
      <c r="U22" s="4"/>
      <c r="V22" s="4"/>
    </row>
    <row r="23" spans="1:22" ht="50">
      <c r="A23" s="11">
        <v>45231.041666666672</v>
      </c>
      <c r="B23" s="12" t="s">
        <v>21</v>
      </c>
      <c r="C23" s="12" t="s">
        <v>53</v>
      </c>
      <c r="D23" s="12" t="s">
        <v>54</v>
      </c>
      <c r="E23" s="13" t="str">
        <f>HYPERLINK("https://www.teagasc.ie/news--events/daily/environment/first-national-bioeconomy-action-plan-published.php","Teagasc")</f>
        <v>Teagasc</v>
      </c>
      <c r="F23" s="16" t="str">
        <f>HYPERLINK("https://www.gov.ie/pdf/?file=https://assets.gov.ie/273984/64aa20ef-3907-46fe-a599-73ba208a1edf.pdf#page=null","Gov.ie")</f>
        <v>Gov.ie</v>
      </c>
      <c r="G23" s="15"/>
      <c r="H23" s="15"/>
      <c r="I23" s="3"/>
      <c r="J23" s="4"/>
      <c r="K23" s="4"/>
      <c r="L23" s="4"/>
      <c r="M23" s="4"/>
      <c r="N23" s="4"/>
      <c r="O23" s="4"/>
      <c r="P23" s="4"/>
      <c r="Q23" s="4"/>
      <c r="R23" s="4"/>
      <c r="S23" s="4"/>
      <c r="T23" s="4"/>
      <c r="U23" s="4"/>
      <c r="V23" s="4"/>
    </row>
    <row r="24" spans="1:22" ht="62.5">
      <c r="A24" s="11">
        <v>45231.041666666672</v>
      </c>
      <c r="B24" s="12" t="s">
        <v>21</v>
      </c>
      <c r="C24" s="12" t="s">
        <v>55</v>
      </c>
      <c r="D24" s="12" t="s">
        <v>56</v>
      </c>
      <c r="E24" s="13" t="str">
        <f>HYPERLINK("https://www.luxinnovation.lu/mapping-luxembourg-wood-sector/","Luxinnovation")</f>
        <v>Luxinnovation</v>
      </c>
      <c r="F24" s="16" t="str">
        <f>HYPERLINK("https://www.infogreen.lu/nouvelle-cartographie-interactive-de-la-filiere-bois-luxembourgeoise.html","Info Green")</f>
        <v>Info Green</v>
      </c>
      <c r="G24" s="15"/>
      <c r="H24" s="15"/>
      <c r="I24" s="3"/>
      <c r="J24" s="4"/>
      <c r="K24" s="4"/>
      <c r="L24" s="4"/>
      <c r="M24" s="4"/>
      <c r="N24" s="4"/>
      <c r="O24" s="4"/>
      <c r="P24" s="4"/>
      <c r="Q24" s="4"/>
      <c r="R24" s="4"/>
      <c r="S24" s="4"/>
      <c r="T24" s="4"/>
      <c r="U24" s="4"/>
      <c r="V24" s="4"/>
    </row>
    <row r="25" spans="1:22" ht="112.5">
      <c r="A25" s="11">
        <v>45231.041666666672</v>
      </c>
      <c r="B25" s="12" t="s">
        <v>24</v>
      </c>
      <c r="C25" s="12" t="s">
        <v>57</v>
      </c>
      <c r="D25" s="12" t="s">
        <v>58</v>
      </c>
      <c r="E25" s="13" t="str">
        <f>HYPERLINK("https://www.woeb.swiss/fr/documents/guide-pour-des-achats-circulaires","Woeb")</f>
        <v>Woeb</v>
      </c>
      <c r="F25" s="16" t="str">
        <f>HYPERLINK("https://hollandcircularhotspot.nl/news/launch-of-the-knowledge-platform-on-circular-procurement/","Holland Circular Hotspot")</f>
        <v>Holland Circular Hotspot</v>
      </c>
      <c r="G25" s="15"/>
      <c r="H25" s="15"/>
      <c r="I25" s="3"/>
      <c r="J25" s="4"/>
      <c r="K25" s="4"/>
      <c r="L25" s="4"/>
      <c r="M25" s="4"/>
      <c r="N25" s="4"/>
      <c r="O25" s="4"/>
      <c r="P25" s="4"/>
      <c r="Q25" s="4"/>
      <c r="R25" s="4"/>
      <c r="S25" s="4"/>
      <c r="T25" s="4"/>
      <c r="U25" s="4"/>
      <c r="V25" s="4"/>
    </row>
    <row r="26" spans="1:22" ht="75">
      <c r="A26" s="11">
        <v>45231.041666666672</v>
      </c>
      <c r="B26" s="12" t="s">
        <v>24</v>
      </c>
      <c r="C26" s="12" t="s">
        <v>59</v>
      </c>
      <c r="D26" s="12" t="s">
        <v>60</v>
      </c>
      <c r="E26" s="13" t="str">
        <f>HYPERLINK("https://dirt.asla.org/2023/10/12/towards-a-circular-economy/","Dirt")</f>
        <v>Dirt</v>
      </c>
      <c r="F26" s="14"/>
      <c r="G26" s="15"/>
      <c r="H26" s="15"/>
      <c r="I26" s="3"/>
      <c r="J26" s="4"/>
      <c r="K26" s="4"/>
      <c r="L26" s="4"/>
      <c r="M26" s="4"/>
      <c r="N26" s="4"/>
      <c r="O26" s="4"/>
      <c r="P26" s="4"/>
      <c r="Q26" s="4"/>
      <c r="R26" s="4"/>
      <c r="S26" s="4"/>
      <c r="T26" s="4"/>
      <c r="U26" s="4"/>
      <c r="V26" s="4"/>
    </row>
    <row r="27" spans="1:22" ht="62.5">
      <c r="A27" s="11">
        <v>45231.041666666672</v>
      </c>
      <c r="B27" s="12" t="s">
        <v>29</v>
      </c>
      <c r="C27" s="12" t="s">
        <v>61</v>
      </c>
      <c r="D27" s="12" t="s">
        <v>62</v>
      </c>
      <c r="E27" s="13" t="str">
        <f>HYPERLINK("https://www.zawya.com/en/press-release/government-news/ministry-of-economy-and-intesa-sanpaolo-banking-group-sign-partnership-agreement-to-finance-startups-in-circular-economy-m131ygda","Zawya")</f>
        <v>Zawya</v>
      </c>
      <c r="F27" s="14"/>
      <c r="G27" s="15"/>
      <c r="H27" s="15"/>
      <c r="I27" s="3"/>
      <c r="J27" s="4"/>
      <c r="K27" s="4"/>
      <c r="L27" s="4"/>
      <c r="M27" s="4"/>
      <c r="N27" s="4"/>
      <c r="O27" s="4"/>
      <c r="P27" s="4"/>
      <c r="Q27" s="4"/>
      <c r="R27" s="4"/>
      <c r="S27" s="4"/>
      <c r="T27" s="4"/>
      <c r="U27" s="4"/>
      <c r="V27" s="4"/>
    </row>
    <row r="28" spans="1:22" ht="50">
      <c r="A28" s="11">
        <v>45231.041666666672</v>
      </c>
      <c r="B28" s="12" t="s">
        <v>29</v>
      </c>
      <c r="C28" s="12" t="s">
        <v>63</v>
      </c>
      <c r="D28" s="12" t="s">
        <v>64</v>
      </c>
      <c r="E28" s="13" t="str">
        <f>HYPERLINK("https://www.funds-europe.com/news/schroders-launches-two-sustainability-focused-equity-funds","Funds Europe")</f>
        <v>Funds Europe</v>
      </c>
      <c r="F28" s="14"/>
      <c r="G28" s="15"/>
      <c r="H28" s="15"/>
      <c r="I28" s="3"/>
      <c r="J28" s="4"/>
      <c r="K28" s="4"/>
      <c r="L28" s="4"/>
      <c r="M28" s="4"/>
      <c r="N28" s="4"/>
      <c r="O28" s="4"/>
      <c r="P28" s="4"/>
      <c r="Q28" s="4"/>
      <c r="R28" s="4"/>
      <c r="S28" s="4"/>
      <c r="T28" s="4"/>
      <c r="U28" s="4"/>
      <c r="V28" s="4"/>
    </row>
    <row r="29" spans="1:22" ht="62.5">
      <c r="A29" s="11">
        <v>45231.041666666672</v>
      </c>
      <c r="B29" s="12" t="s">
        <v>32</v>
      </c>
      <c r="C29" s="12" t="s">
        <v>65</v>
      </c>
      <c r="D29" s="12" t="s">
        <v>66</v>
      </c>
      <c r="E29" s="13" t="str">
        <f>HYPERLINK("https://www.thechangestartswithyou.lu/upcyclinginitiative","The Change Starts With You")</f>
        <v>The Change Starts With You</v>
      </c>
      <c r="F29" s="14"/>
      <c r="G29" s="15"/>
      <c r="H29" s="15"/>
      <c r="I29" s="3"/>
      <c r="J29" s="4"/>
      <c r="K29" s="4"/>
      <c r="L29" s="4"/>
      <c r="M29" s="4"/>
      <c r="N29" s="4"/>
      <c r="O29" s="4"/>
      <c r="P29" s="4"/>
      <c r="Q29" s="4"/>
      <c r="R29" s="4"/>
      <c r="S29" s="4"/>
      <c r="T29" s="4"/>
      <c r="U29" s="4"/>
      <c r="V29" s="4"/>
    </row>
    <row r="30" spans="1:22" ht="50">
      <c r="A30" s="11">
        <v>45231.041666666672</v>
      </c>
      <c r="B30" s="12" t="s">
        <v>32</v>
      </c>
      <c r="C30" s="12" t="s">
        <v>67</v>
      </c>
      <c r="D30" s="12" t="s">
        <v>68</v>
      </c>
      <c r="E30" s="17" t="str">
        <f>HYPERLINK("https://www.infogreen.lu/bons-plans-une-brochure-pour-sensibiliser-a-l-economie-circulaire.html","Info Green")</f>
        <v>Info Green</v>
      </c>
      <c r="F30" s="14"/>
      <c r="G30" s="18"/>
      <c r="H30" s="15"/>
      <c r="I30" s="3"/>
      <c r="J30" s="4"/>
      <c r="K30" s="4"/>
      <c r="L30" s="4"/>
      <c r="M30" s="4"/>
      <c r="N30" s="4"/>
      <c r="O30" s="4"/>
      <c r="P30" s="4"/>
      <c r="Q30" s="4"/>
      <c r="R30" s="4"/>
      <c r="S30" s="4"/>
      <c r="T30" s="4"/>
      <c r="U30" s="4"/>
      <c r="V30" s="4"/>
    </row>
    <row r="31" spans="1:22" ht="62.5">
      <c r="A31" s="11">
        <v>45231.041666666672</v>
      </c>
      <c r="B31" s="12" t="s">
        <v>32</v>
      </c>
      <c r="C31" s="12" t="s">
        <v>69</v>
      </c>
      <c r="D31" s="12" t="s">
        <v>70</v>
      </c>
      <c r="E31" s="13" t="str">
        <f>HYPERLINK("https://www.uefa.com/returntoplay/news/0287-1968d5fdb97d-6e24bf3b0f21-1000--new-uefa-circular-economy-guidelines/","UEFA.com")</f>
        <v>UEFA.com</v>
      </c>
      <c r="F31" s="14"/>
      <c r="G31" s="15"/>
      <c r="H31" s="15"/>
      <c r="I31" s="3"/>
      <c r="J31" s="4"/>
      <c r="K31" s="4"/>
      <c r="L31" s="4"/>
      <c r="M31" s="4"/>
      <c r="N31" s="4"/>
      <c r="O31" s="4"/>
      <c r="P31" s="4"/>
      <c r="Q31" s="4"/>
      <c r="R31" s="4"/>
      <c r="S31" s="4"/>
      <c r="T31" s="4"/>
      <c r="U31" s="4"/>
      <c r="V31" s="4"/>
    </row>
    <row r="32" spans="1:22" ht="75">
      <c r="A32" s="11">
        <v>45200.083333333328</v>
      </c>
      <c r="B32" s="12" t="s">
        <v>5</v>
      </c>
      <c r="C32" s="12" t="s">
        <v>71</v>
      </c>
      <c r="D32" s="12" t="s">
        <v>72</v>
      </c>
      <c r="E32" s="13" t="str">
        <f>HYPERLINK("https://www.infogreen.lu/reuse-lu-faire-matcher-le-besoin-et-l-offre-en-materiaux-de-deconstruction.html","Info Green")</f>
        <v>Info Green</v>
      </c>
      <c r="F32" s="16" t="str">
        <f>HYPERLINK("https://www.infogreen.lu/la-premiere-demarche-consiste-a-faire-le-choix-de-ne-pas-demolir.html","Info Green")</f>
        <v>Info Green</v>
      </c>
      <c r="G32" s="15"/>
      <c r="H32" s="15"/>
      <c r="I32" s="3"/>
      <c r="J32" s="4"/>
      <c r="K32" s="4"/>
      <c r="L32" s="4"/>
      <c r="M32" s="4"/>
      <c r="N32" s="4"/>
      <c r="O32" s="4"/>
      <c r="P32" s="4"/>
      <c r="Q32" s="4"/>
      <c r="R32" s="4"/>
      <c r="S32" s="4"/>
      <c r="T32" s="4"/>
      <c r="U32" s="4"/>
      <c r="V32" s="4"/>
    </row>
    <row r="33" spans="1:22" ht="62.5">
      <c r="A33" s="11">
        <v>45200.083333333328</v>
      </c>
      <c r="B33" s="12" t="s">
        <v>5</v>
      </c>
      <c r="C33" s="12" t="s">
        <v>73</v>
      </c>
      <c r="D33" s="12" t="s">
        <v>74</v>
      </c>
      <c r="E33" s="13" t="str">
        <f>HYPERLINK("https://www.infogreen.lu/ou-faire-ses-courses-en-vrac-au-luxembourg.html","Info Green")</f>
        <v>Info Green</v>
      </c>
      <c r="F33" s="14"/>
      <c r="G33" s="15"/>
      <c r="H33" s="15"/>
      <c r="I33" s="3"/>
      <c r="J33" s="4"/>
      <c r="K33" s="4"/>
      <c r="L33" s="4"/>
      <c r="M33" s="4"/>
      <c r="N33" s="4"/>
      <c r="O33" s="4"/>
      <c r="P33" s="4"/>
      <c r="Q33" s="4"/>
      <c r="R33" s="4"/>
      <c r="S33" s="4"/>
      <c r="T33" s="4"/>
      <c r="U33" s="4"/>
      <c r="V33" s="4"/>
    </row>
    <row r="34" spans="1:22" ht="62.5">
      <c r="A34" s="11">
        <v>45200.083333333328</v>
      </c>
      <c r="B34" s="12" t="s">
        <v>5</v>
      </c>
      <c r="C34" s="12" t="s">
        <v>75</v>
      </c>
      <c r="D34" s="12" t="s">
        <v>76</v>
      </c>
      <c r="E34" s="13" t="str">
        <f>HYPERLINK("https://www.circularonline.co.uk/features/how-to-scale-the-circular-economy/","Circular Online")</f>
        <v>Circular Online</v>
      </c>
      <c r="F34" s="14"/>
      <c r="G34" s="15"/>
      <c r="H34" s="15"/>
      <c r="I34" s="3"/>
      <c r="J34" s="4"/>
      <c r="K34" s="4"/>
      <c r="L34" s="4"/>
      <c r="M34" s="4"/>
      <c r="N34" s="4"/>
      <c r="O34" s="4"/>
      <c r="P34" s="4"/>
      <c r="Q34" s="4"/>
      <c r="R34" s="4"/>
      <c r="S34" s="4"/>
      <c r="T34" s="4"/>
      <c r="U34" s="4"/>
      <c r="V34" s="4"/>
    </row>
    <row r="35" spans="1:22" ht="62.5">
      <c r="A35" s="11">
        <v>45200.083333333328</v>
      </c>
      <c r="B35" s="12" t="s">
        <v>14</v>
      </c>
      <c r="C35" s="12" t="s">
        <v>77</v>
      </c>
      <c r="D35" s="12" t="s">
        <v>78</v>
      </c>
      <c r="E35" s="13" t="str">
        <f>HYPERLINK("https://www.calameo.com/read/005458769e9c7fc741ecd?utm_source=🌿🚗+Révolution+dans+l...+%28Post+social+créé%28es%29+le+2023-09-20%29+%5B2%5D&amp;utm_medium=%5BLinkedIn%5D+PROgroup+S.A.","Calameo.com (page 34)")</f>
        <v>Calameo.com (page 34)</v>
      </c>
      <c r="F35" s="14"/>
      <c r="G35" s="15"/>
      <c r="H35" s="15"/>
      <c r="I35" s="3"/>
      <c r="J35" s="4"/>
      <c r="K35" s="4"/>
      <c r="L35" s="4"/>
      <c r="M35" s="4"/>
      <c r="N35" s="4"/>
      <c r="O35" s="4"/>
      <c r="P35" s="4"/>
      <c r="Q35" s="4"/>
      <c r="R35" s="4"/>
      <c r="S35" s="4"/>
      <c r="T35" s="4"/>
      <c r="U35" s="4"/>
      <c r="V35" s="4"/>
    </row>
    <row r="36" spans="1:22" ht="75">
      <c r="A36" s="11">
        <v>45200.083333333328</v>
      </c>
      <c r="B36" s="12" t="s">
        <v>14</v>
      </c>
      <c r="C36" s="12" t="s">
        <v>79</v>
      </c>
      <c r="D36" s="12" t="s">
        <v>80</v>
      </c>
      <c r="E36" s="13" t="str">
        <f>HYPERLINK("https://trace4value.se/news/trustrace-partners-with-industry-leaders-in-trace4value-project-to-pilot-digital-product-passports-in-textiles/","Trace4Value")</f>
        <v>Trace4Value</v>
      </c>
      <c r="F36" s="14"/>
      <c r="G36" s="15"/>
      <c r="H36" s="15"/>
      <c r="I36" s="3"/>
      <c r="J36" s="4"/>
      <c r="K36" s="4"/>
      <c r="L36" s="4"/>
      <c r="M36" s="4"/>
      <c r="N36" s="4"/>
      <c r="O36" s="4"/>
      <c r="P36" s="4"/>
      <c r="Q36" s="4"/>
      <c r="R36" s="4"/>
      <c r="S36" s="4"/>
      <c r="T36" s="4"/>
      <c r="U36" s="4"/>
      <c r="V36" s="4"/>
    </row>
    <row r="37" spans="1:22" ht="87.5">
      <c r="A37" s="11">
        <v>45200.083333333328</v>
      </c>
      <c r="B37" s="12" t="s">
        <v>21</v>
      </c>
      <c r="C37" s="12" t="s">
        <v>81</v>
      </c>
      <c r="D37" s="12" t="s">
        <v>82</v>
      </c>
      <c r="E37" s="13" t="str">
        <f>HYPERLINK("https://worldbiomarketinsights.com/bioeconomy-project-superbark-lands-eu-funding-of-e4-5-m/","World Biomarket Insights")</f>
        <v>World Biomarket Insights</v>
      </c>
      <c r="F37" s="14"/>
      <c r="G37" s="15"/>
      <c r="H37" s="15"/>
      <c r="I37" s="3"/>
      <c r="J37" s="4"/>
      <c r="K37" s="4"/>
      <c r="L37" s="4"/>
      <c r="M37" s="4"/>
      <c r="N37" s="4"/>
      <c r="O37" s="4"/>
      <c r="P37" s="4"/>
      <c r="Q37" s="4"/>
      <c r="R37" s="4"/>
      <c r="S37" s="4"/>
      <c r="T37" s="4"/>
      <c r="U37" s="4"/>
      <c r="V37" s="4"/>
    </row>
    <row r="38" spans="1:22" ht="75">
      <c r="A38" s="11">
        <v>45200.083333333328</v>
      </c>
      <c r="B38" s="12" t="s">
        <v>21</v>
      </c>
      <c r="C38" s="12" t="s">
        <v>83</v>
      </c>
      <c r="D38" s="12" t="s">
        <v>84</v>
      </c>
      <c r="E38" s="13" t="str">
        <f>HYPERLINK("https://www.renewableenergymagazine.com/biofuels/iroddi-project-proves-bioeconomy-model-can-work-20230915","Renewable Energy Magazine")</f>
        <v>Renewable Energy Magazine</v>
      </c>
      <c r="F38" s="14"/>
      <c r="G38" s="15"/>
      <c r="H38" s="15"/>
      <c r="I38" s="3"/>
      <c r="J38" s="4"/>
      <c r="K38" s="4"/>
      <c r="L38" s="4"/>
      <c r="M38" s="4"/>
      <c r="N38" s="4"/>
      <c r="O38" s="4"/>
      <c r="P38" s="4"/>
      <c r="Q38" s="4"/>
      <c r="R38" s="4"/>
      <c r="S38" s="4"/>
      <c r="T38" s="4"/>
      <c r="U38" s="4"/>
      <c r="V38" s="4"/>
    </row>
    <row r="39" spans="1:22" ht="75">
      <c r="A39" s="11">
        <v>45200.083333333328</v>
      </c>
      <c r="B39" s="12" t="s">
        <v>24</v>
      </c>
      <c r="C39" s="12" t="s">
        <v>85</v>
      </c>
      <c r="D39" s="12" t="s">
        <v>86</v>
      </c>
      <c r="E39" s="13" t="str">
        <f>HYPERLINK("https://www.agora-energiewende.de/veroeffentlichungen/resilienter-klimaschutz-durch-eine-zirkulaere-wirtschaft/","Agora Energiewende")</f>
        <v>Agora Energiewende</v>
      </c>
      <c r="F39" s="14"/>
      <c r="G39" s="15"/>
      <c r="H39" s="15"/>
      <c r="I39" s="3"/>
      <c r="J39" s="4"/>
      <c r="K39" s="4"/>
      <c r="L39" s="4"/>
      <c r="M39" s="4"/>
      <c r="N39" s="4"/>
      <c r="O39" s="4"/>
      <c r="P39" s="4"/>
      <c r="Q39" s="4"/>
      <c r="R39" s="4"/>
      <c r="S39" s="4"/>
      <c r="T39" s="4"/>
      <c r="U39" s="4"/>
      <c r="V39" s="4"/>
    </row>
    <row r="40" spans="1:22" ht="75">
      <c r="A40" s="11">
        <v>45200.083333333328</v>
      </c>
      <c r="B40" s="12" t="s">
        <v>24</v>
      </c>
      <c r="C40" s="12" t="s">
        <v>87</v>
      </c>
      <c r="D40" s="12" t="s">
        <v>88</v>
      </c>
      <c r="E40" s="13" t="str">
        <f>HYPERLINK("https://unece.org/trade/publications/institutional-arrangements-circular-economy-circular-step","UNECE")</f>
        <v>UNECE</v>
      </c>
      <c r="F40" s="16" t="str">
        <f>HYPERLINK("https://unece.org/sites/default/files/2023-09/Circular%20Economy%20-%20Institutional%20Arrangements%20-%209.26.23%20-Circular%20STEP%20.pdf","UNECE")</f>
        <v>UNECE</v>
      </c>
      <c r="G40" s="15"/>
      <c r="H40" s="15"/>
      <c r="I40" s="3"/>
      <c r="J40" s="4"/>
      <c r="K40" s="4"/>
      <c r="L40" s="4"/>
      <c r="M40" s="4"/>
      <c r="N40" s="4"/>
      <c r="O40" s="4"/>
      <c r="P40" s="4"/>
      <c r="Q40" s="4"/>
      <c r="R40" s="4"/>
      <c r="S40" s="4"/>
      <c r="T40" s="4"/>
      <c r="U40" s="4"/>
      <c r="V40" s="4"/>
    </row>
    <row r="41" spans="1:22" ht="50">
      <c r="A41" s="11">
        <v>45200.083333333328</v>
      </c>
      <c r="B41" s="12" t="s">
        <v>29</v>
      </c>
      <c r="C41" s="12" t="s">
        <v>89</v>
      </c>
      <c r="D41" s="12" t="s">
        <v>90</v>
      </c>
      <c r="E41" s="13" t="str">
        <f>HYPERLINK("https://tech.eu/2023/09/18/astanor-ventures-second-fund-eur360m/","Tech EU")</f>
        <v>Tech EU</v>
      </c>
      <c r="F41" s="16" t="str">
        <f>HYPERLINK("https://astanor.com/2023/09/19/astanor-ventures-secures-e360-million-in-final-closing-of-its-second-venture-fund-bolstering-commitment-to-sustainable-agrifood-technologies/","Astanor.com")</f>
        <v>Astanor.com</v>
      </c>
      <c r="G41" s="15"/>
      <c r="H41" s="15"/>
      <c r="I41" s="3"/>
      <c r="J41" s="4"/>
      <c r="K41" s="4"/>
      <c r="L41" s="4"/>
      <c r="M41" s="4"/>
      <c r="N41" s="4"/>
      <c r="O41" s="4"/>
      <c r="P41" s="4"/>
      <c r="Q41" s="4"/>
      <c r="R41" s="4"/>
      <c r="S41" s="4"/>
      <c r="T41" s="4"/>
      <c r="U41" s="4"/>
      <c r="V41" s="4"/>
    </row>
    <row r="42" spans="1:22" ht="62.5">
      <c r="A42" s="11">
        <v>45200.083333333328</v>
      </c>
      <c r="B42" s="12" t="s">
        <v>29</v>
      </c>
      <c r="C42" s="12" t="s">
        <v>91</v>
      </c>
      <c r="D42" s="12" t="s">
        <v>92</v>
      </c>
      <c r="E42" s="13" t="str">
        <f>HYPERLINK("https://therecursive.com/sporos-platform-first-circular-economy-fund-greece/","The Recursive")</f>
        <v>The Recursive</v>
      </c>
      <c r="F42" s="14"/>
      <c r="G42" s="15"/>
      <c r="H42" s="15"/>
      <c r="I42" s="3"/>
      <c r="J42" s="4"/>
      <c r="K42" s="4"/>
      <c r="L42" s="4"/>
      <c r="M42" s="4"/>
      <c r="N42" s="4"/>
      <c r="O42" s="4"/>
      <c r="P42" s="4"/>
      <c r="Q42" s="4"/>
      <c r="R42" s="4"/>
      <c r="S42" s="4"/>
      <c r="T42" s="4"/>
      <c r="U42" s="4"/>
      <c r="V42" s="4"/>
    </row>
    <row r="43" spans="1:22" ht="62.5">
      <c r="A43" s="11">
        <v>45200.083333333328</v>
      </c>
      <c r="B43" s="12" t="s">
        <v>32</v>
      </c>
      <c r="C43" s="12" t="s">
        <v>93</v>
      </c>
      <c r="D43" s="12" t="s">
        <v>94</v>
      </c>
      <c r="E43" s="13" t="str">
        <f>HYPERLINK("https://paperjam.lu/article/a-quoi-pourrait-ressembler-eco","Paperjam")</f>
        <v>Paperjam</v>
      </c>
      <c r="F43" s="16" t="str">
        <f>HYPERLINK("https://luxstrategie.gouvernement.lu/fr/evenements/3e-conference.html","Luxstratégie")</f>
        <v>Luxstratégie</v>
      </c>
      <c r="G43" s="15"/>
      <c r="H43" s="15"/>
      <c r="I43" s="3"/>
      <c r="J43" s="4"/>
      <c r="K43" s="4"/>
      <c r="L43" s="4"/>
      <c r="M43" s="4"/>
      <c r="N43" s="4"/>
      <c r="O43" s="4"/>
      <c r="P43" s="4"/>
      <c r="Q43" s="4"/>
      <c r="R43" s="4"/>
      <c r="S43" s="4"/>
      <c r="T43" s="4"/>
      <c r="U43" s="4"/>
      <c r="V43" s="4"/>
    </row>
    <row r="44" spans="1:22" ht="62.5">
      <c r="A44" s="11">
        <v>45200.083333333328</v>
      </c>
      <c r="B44" s="12" t="s">
        <v>32</v>
      </c>
      <c r="C44" s="12" t="s">
        <v>95</v>
      </c>
      <c r="D44" s="12" t="s">
        <v>96</v>
      </c>
      <c r="E44" s="13" t="str">
        <f>HYPERLINK("https://www.luxinnovation.lu/event/wood-cluster-forum-2023/","Luxinnovation")</f>
        <v>Luxinnovation</v>
      </c>
      <c r="F44" s="16" t="str">
        <f>HYPERLINK("https://www.infogreen.lu/le-bois-est-une-filiere-d-avenir.html","Info Green ")</f>
        <v xml:space="preserve">Info Green </v>
      </c>
      <c r="G44" s="15"/>
      <c r="H44" s="15"/>
      <c r="I44" s="3"/>
      <c r="J44" s="4"/>
      <c r="K44" s="4"/>
      <c r="L44" s="4"/>
      <c r="M44" s="4"/>
      <c r="N44" s="4"/>
      <c r="O44" s="4"/>
      <c r="P44" s="4"/>
      <c r="Q44" s="4"/>
      <c r="R44" s="4"/>
      <c r="S44" s="4"/>
      <c r="T44" s="4"/>
      <c r="U44" s="4"/>
      <c r="V44" s="4"/>
    </row>
    <row r="45" spans="1:22" ht="62.5">
      <c r="A45" s="11">
        <v>45200.083333333328</v>
      </c>
      <c r="B45" s="12" t="s">
        <v>32</v>
      </c>
      <c r="C45" s="12" t="s">
        <v>97</v>
      </c>
      <c r="D45" s="12" t="s">
        <v>98</v>
      </c>
      <c r="E45" s="13" t="str">
        <f>HYPERLINK("https://green-alley-award.com/seeking-circular-economy-innovators-2024/","Green Alley Award")</f>
        <v>Green Alley Award</v>
      </c>
      <c r="F45" s="14"/>
      <c r="G45" s="15"/>
      <c r="H45" s="15"/>
      <c r="I45" s="3"/>
      <c r="J45" s="4"/>
      <c r="K45" s="4"/>
      <c r="L45" s="4"/>
      <c r="M45" s="4"/>
      <c r="N45" s="4"/>
      <c r="O45" s="4"/>
      <c r="P45" s="4"/>
      <c r="Q45" s="4"/>
      <c r="R45" s="4"/>
      <c r="S45" s="4"/>
      <c r="T45" s="4"/>
      <c r="U45" s="4"/>
      <c r="V45" s="4"/>
    </row>
    <row r="46" spans="1:22" ht="50">
      <c r="A46" s="11">
        <v>45200.083333333328</v>
      </c>
      <c r="B46" s="12" t="s">
        <v>32</v>
      </c>
      <c r="C46" s="12" t="s">
        <v>99</v>
      </c>
      <c r="D46" s="12" t="s">
        <v>100</v>
      </c>
      <c r="E46" s="13" t="str">
        <f>HYPERLINK("https://channelx.world/2023/10/ebay-circular-fashion-fund-2023/","Channels.world")</f>
        <v>Channels.world</v>
      </c>
      <c r="F46" s="16" t="str">
        <f>HYPERLINK("https://cloud.forbusiness.ebay.com/circular-fashion-innovation-fund","Cloud for Business")</f>
        <v>Cloud for Business</v>
      </c>
      <c r="G46" s="15"/>
      <c r="H46" s="15"/>
      <c r="I46" s="3"/>
      <c r="J46" s="4"/>
      <c r="K46" s="4"/>
      <c r="L46" s="4"/>
      <c r="M46" s="4"/>
      <c r="N46" s="4"/>
      <c r="O46" s="4"/>
      <c r="P46" s="4"/>
      <c r="Q46" s="4"/>
      <c r="R46" s="4"/>
      <c r="S46" s="4"/>
      <c r="T46" s="4"/>
      <c r="U46" s="4"/>
      <c r="V46" s="4"/>
    </row>
    <row r="47" spans="1:22" ht="50">
      <c r="A47" s="11">
        <v>45170.083333333328</v>
      </c>
      <c r="B47" s="12" t="s">
        <v>5</v>
      </c>
      <c r="C47" s="12" t="s">
        <v>101</v>
      </c>
      <c r="D47" s="12" t="s">
        <v>102</v>
      </c>
      <c r="E47" s="13" t="str">
        <f>HYPERLINK("https://www.infogreen.lu/repair-share-plateforme-en-ligne-pour-la-reparation-et-services-de-location.html","Info Green")</f>
        <v>Info Green</v>
      </c>
      <c r="F47" s="16" t="str">
        <f>HYPERLINK("https://repairandshare.lu/?lang=fr","Repair &amp; Share")</f>
        <v>Repair &amp; Share</v>
      </c>
      <c r="G47" s="15"/>
      <c r="H47" s="15"/>
      <c r="I47" s="3"/>
      <c r="J47" s="4"/>
      <c r="K47" s="4"/>
      <c r="L47" s="4"/>
      <c r="M47" s="4"/>
      <c r="N47" s="4"/>
      <c r="O47" s="4"/>
      <c r="P47" s="4"/>
      <c r="Q47" s="4"/>
      <c r="R47" s="4"/>
      <c r="S47" s="4"/>
      <c r="T47" s="4"/>
      <c r="U47" s="4"/>
      <c r="V47" s="4"/>
    </row>
    <row r="48" spans="1:22" ht="62.5">
      <c r="A48" s="11">
        <v>45170.083333333328</v>
      </c>
      <c r="B48" s="12" t="s">
        <v>5</v>
      </c>
      <c r="C48" s="12" t="s">
        <v>103</v>
      </c>
      <c r="D48" s="12" t="s">
        <v>104</v>
      </c>
      <c r="E48" s="13" t="str">
        <f>HYPERLINK("https://paperjam.lu/article/lycee-michel-lucius-experiment","Paperjam.lu")</f>
        <v>Paperjam.lu</v>
      </c>
      <c r="F48" s="14"/>
      <c r="G48" s="15"/>
      <c r="H48" s="15"/>
      <c r="I48" s="3"/>
      <c r="J48" s="4"/>
      <c r="K48" s="4"/>
      <c r="L48" s="4"/>
      <c r="M48" s="4"/>
      <c r="N48" s="4"/>
      <c r="O48" s="4"/>
      <c r="P48" s="4"/>
      <c r="Q48" s="4"/>
      <c r="R48" s="4"/>
      <c r="S48" s="4"/>
      <c r="T48" s="4"/>
      <c r="U48" s="4"/>
      <c r="V48" s="4"/>
    </row>
    <row r="49" spans="1:22" ht="62.5">
      <c r="A49" s="11">
        <v>45170.083333333328</v>
      </c>
      <c r="B49" s="12" t="s">
        <v>5</v>
      </c>
      <c r="C49" s="12" t="s">
        <v>105</v>
      </c>
      <c r="D49" s="12" t="s">
        <v>106</v>
      </c>
      <c r="E49" s="13" t="str">
        <f>HYPERLINK("https://www.infogreen.lu/la-reduction-des-dechets-est-en-bonne-voie.html","Info Green")</f>
        <v>Info Green</v>
      </c>
      <c r="F49" s="14"/>
      <c r="G49" s="15"/>
      <c r="H49" s="15"/>
      <c r="I49" s="3"/>
      <c r="J49" s="4"/>
      <c r="K49" s="4"/>
      <c r="L49" s="4"/>
      <c r="M49" s="4"/>
      <c r="N49" s="4"/>
      <c r="O49" s="4"/>
      <c r="P49" s="4"/>
      <c r="Q49" s="4"/>
      <c r="R49" s="4"/>
      <c r="S49" s="4"/>
      <c r="T49" s="4"/>
      <c r="U49" s="4"/>
      <c r="V49" s="4"/>
    </row>
    <row r="50" spans="1:22" ht="100">
      <c r="A50" s="11">
        <v>45170.083333333328</v>
      </c>
      <c r="B50" s="12" t="s">
        <v>5</v>
      </c>
      <c r="C50" s="12" t="s">
        <v>107</v>
      </c>
      <c r="D50" s="12" t="s">
        <v>108</v>
      </c>
      <c r="E50" s="13" t="str">
        <f>HYPERLINK("https://www.circularonline.co.uk/features/sustainable-product-design-how-electronics-can-become-circular/","Circular Online")</f>
        <v>Circular Online</v>
      </c>
      <c r="F50" s="16" t="str">
        <f>HYPERLINK("https://trojanelectronics.co.uk/wp-content/uploads/2023/08/Trojan-Report_The-rise-of-refurbished-electronics_exploring-consumer-attitudes.pdf","Trojan")</f>
        <v>Trojan</v>
      </c>
      <c r="G50" s="15"/>
      <c r="H50" s="15"/>
      <c r="I50" s="3"/>
      <c r="J50" s="4"/>
      <c r="K50" s="4"/>
      <c r="L50" s="4"/>
      <c r="M50" s="4"/>
      <c r="N50" s="4"/>
      <c r="O50" s="4"/>
      <c r="P50" s="4"/>
      <c r="Q50" s="4"/>
      <c r="R50" s="4"/>
      <c r="S50" s="4"/>
      <c r="T50" s="4"/>
      <c r="U50" s="4"/>
      <c r="V50" s="4"/>
    </row>
    <row r="51" spans="1:22" ht="75">
      <c r="A51" s="11">
        <v>45170.083333333328</v>
      </c>
      <c r="B51" s="12" t="s">
        <v>14</v>
      </c>
      <c r="C51" s="12" t="s">
        <v>109</v>
      </c>
      <c r="D51" s="12" t="s">
        <v>110</v>
      </c>
      <c r="E51" s="13" t="str">
        <f>HYPERLINK("https://waste-management-world.com/resource-use/innovative-product-cycles-for-a-circular-economy/","Waste Management World")</f>
        <v>Waste Management World</v>
      </c>
      <c r="F51" s="16" t="str">
        <f>HYPERLINK("https://innovative-produktkreislaeufe.de/resswinn/en/","Innovative Produktkreislauefe.de")</f>
        <v>Innovative Produktkreislauefe.de</v>
      </c>
      <c r="G51" s="15"/>
      <c r="H51" s="15"/>
      <c r="I51" s="3"/>
      <c r="J51" s="4"/>
      <c r="K51" s="4"/>
      <c r="L51" s="4"/>
      <c r="M51" s="4"/>
      <c r="N51" s="4"/>
      <c r="O51" s="4"/>
      <c r="P51" s="4"/>
      <c r="Q51" s="4"/>
      <c r="R51" s="4"/>
      <c r="S51" s="4"/>
      <c r="T51" s="4"/>
      <c r="U51" s="4"/>
      <c r="V51" s="4"/>
    </row>
    <row r="52" spans="1:22" ht="62.5">
      <c r="A52" s="11">
        <v>45170.083333333328</v>
      </c>
      <c r="B52" s="12" t="s">
        <v>14</v>
      </c>
      <c r="C52" s="12" t="s">
        <v>111</v>
      </c>
      <c r="D52" s="12" t="s">
        <v>112</v>
      </c>
      <c r="E52" s="13" t="str">
        <f>HYPERLINK("https://www.reuters.com/sustainability/climate-energy/mura-looks-create-true-circular-plastics-economy-with-first-uk-plant-2023-08-15/","Reuters")</f>
        <v>Reuters</v>
      </c>
      <c r="F52" s="14"/>
      <c r="G52" s="15"/>
      <c r="H52" s="15"/>
      <c r="I52" s="3"/>
      <c r="J52" s="4"/>
      <c r="K52" s="4"/>
      <c r="L52" s="4"/>
      <c r="M52" s="4"/>
      <c r="N52" s="4"/>
      <c r="O52" s="4"/>
      <c r="P52" s="4"/>
      <c r="Q52" s="4"/>
      <c r="R52" s="4"/>
      <c r="S52" s="4"/>
      <c r="T52" s="4"/>
      <c r="U52" s="4"/>
      <c r="V52" s="4"/>
    </row>
    <row r="53" spans="1:22" ht="62.5">
      <c r="A53" s="11">
        <v>45170.083333333328</v>
      </c>
      <c r="B53" s="12" t="s">
        <v>21</v>
      </c>
      <c r="C53" s="12" t="s">
        <v>113</v>
      </c>
      <c r="D53" s="12" t="s">
        <v>114</v>
      </c>
      <c r="E53" s="13" t="str">
        <f>HYPERLINK("https://www.openaccessgovernment.org/article/boosting-innovation-in-european-bioeconomy-cbe-ju/165175/","Open Access Government")</f>
        <v>Open Access Government</v>
      </c>
      <c r="F53" s="14"/>
      <c r="G53" s="15"/>
      <c r="H53" s="15"/>
      <c r="I53" s="3"/>
      <c r="J53" s="4"/>
      <c r="K53" s="4"/>
      <c r="L53" s="4"/>
      <c r="M53" s="4"/>
      <c r="N53" s="4"/>
      <c r="O53" s="4"/>
      <c r="P53" s="4"/>
      <c r="Q53" s="4"/>
      <c r="R53" s="4"/>
      <c r="S53" s="4"/>
      <c r="T53" s="4"/>
      <c r="U53" s="4"/>
      <c r="V53" s="4"/>
    </row>
    <row r="54" spans="1:22" ht="75">
      <c r="A54" s="11">
        <v>45170.083333333328</v>
      </c>
      <c r="B54" s="12" t="s">
        <v>24</v>
      </c>
      <c r="C54" s="12" t="s">
        <v>115</v>
      </c>
      <c r="D54" s="12" t="s">
        <v>116</v>
      </c>
      <c r="E54" s="13" t="str">
        <f>HYPERLINK("https://resource.co/article/northern-ireland-publishes-consultation-response-circular-economy","Resource")</f>
        <v>Resource</v>
      </c>
      <c r="F54" s="16" t="str">
        <f>HYPERLINK("https://www.economy-ni.gov.uk/sites/default/files/consultations/economy/draft-circular-economy-strategy-for-northern-ireland-easy-read.pdf","Gov.uk")</f>
        <v>Gov.uk</v>
      </c>
      <c r="G54" s="15"/>
      <c r="H54" s="15"/>
      <c r="I54" s="3"/>
      <c r="J54" s="4"/>
      <c r="K54" s="4"/>
      <c r="L54" s="4"/>
      <c r="M54" s="4"/>
      <c r="N54" s="4"/>
      <c r="O54" s="4"/>
      <c r="P54" s="4"/>
      <c r="Q54" s="4"/>
      <c r="R54" s="4"/>
      <c r="S54" s="4"/>
      <c r="T54" s="4"/>
      <c r="U54" s="4"/>
      <c r="V54" s="4"/>
    </row>
    <row r="55" spans="1:22" ht="50">
      <c r="A55" s="11">
        <v>45170.083333333328</v>
      </c>
      <c r="B55" s="12" t="s">
        <v>29</v>
      </c>
      <c r="C55" s="12" t="s">
        <v>117</v>
      </c>
      <c r="D55" s="12" t="s">
        <v>118</v>
      </c>
      <c r="E55" s="13" t="str">
        <f>HYPERLINK("https://www.houseofsustainability.lu/news/detail/le-regime-daides-sme-packages-sustainability-est-elargi?tx_ccnews_news%5Bpage%5D=1&amp;cHash=32c2b9d9d1fb2b6f553b0839d54ef5db","House of Sustainability")</f>
        <v>House of Sustainability</v>
      </c>
      <c r="F55" s="14"/>
      <c r="G55" s="15"/>
      <c r="H55" s="15"/>
      <c r="I55" s="3"/>
      <c r="J55" s="4"/>
      <c r="K55" s="4"/>
      <c r="L55" s="4"/>
      <c r="M55" s="4"/>
      <c r="N55" s="4"/>
      <c r="O55" s="4"/>
      <c r="P55" s="4"/>
      <c r="Q55" s="4"/>
      <c r="R55" s="4"/>
      <c r="S55" s="4"/>
      <c r="T55" s="4"/>
      <c r="U55" s="4"/>
      <c r="V55" s="4"/>
    </row>
    <row r="56" spans="1:22" ht="87.5">
      <c r="A56" s="11">
        <v>45170.083333333328</v>
      </c>
      <c r="B56" s="12" t="s">
        <v>29</v>
      </c>
      <c r="C56" s="12" t="s">
        <v>119</v>
      </c>
      <c r="D56" s="12" t="s">
        <v>120</v>
      </c>
      <c r="E56" s="13" t="str">
        <f>HYPERLINK("https://www.circularbuildingscoalition.org/open-call","Circular Buildings Coalition")</f>
        <v>Circular Buildings Coalition</v>
      </c>
      <c r="F56" s="16" t="str">
        <f>HYPERLINK("https://assets.website-files.com/62d59ebdf8305820127622f6/64775e278a042543b5a597a4_Circular%20Building%20Coalition%20-%20Applicants’%20guide.pdf","Circular Buildings Coalition")</f>
        <v>Circular Buildings Coalition</v>
      </c>
      <c r="G56" s="15"/>
      <c r="H56" s="15"/>
      <c r="I56" s="3"/>
      <c r="J56" s="4"/>
      <c r="K56" s="4"/>
      <c r="L56" s="4"/>
      <c r="M56" s="4"/>
      <c r="N56" s="4"/>
      <c r="O56" s="4"/>
      <c r="P56" s="4"/>
      <c r="Q56" s="4"/>
      <c r="R56" s="4"/>
      <c r="S56" s="4"/>
      <c r="T56" s="4"/>
      <c r="U56" s="4"/>
      <c r="V56" s="4"/>
    </row>
    <row r="57" spans="1:22" ht="50">
      <c r="A57" s="11">
        <v>45170.083333333328</v>
      </c>
      <c r="B57" s="12" t="s">
        <v>29</v>
      </c>
      <c r="C57" s="12" t="s">
        <v>121</v>
      </c>
      <c r="D57" s="12" t="s">
        <v>122</v>
      </c>
      <c r="E57" s="13" t="str">
        <f>HYPERLINK("https://www.eu-startups.com/2023/08/german-contech-schuttflix-bags-e45-million-to-enable-a-fully-circular-economy-for-building-materials/","EU-Startups")</f>
        <v>EU-Startups</v>
      </c>
      <c r="F57" s="16" t="str">
        <f>HYPERLINK("https://schuettflix.com/global/en/about-us/news-and-press/fresh-capital/","Schüttflix.com")</f>
        <v>Schüttflix.com</v>
      </c>
      <c r="G57" s="15"/>
      <c r="H57" s="15"/>
      <c r="I57" s="3"/>
      <c r="J57" s="4"/>
      <c r="K57" s="4"/>
      <c r="L57" s="4"/>
      <c r="M57" s="4"/>
      <c r="N57" s="4"/>
      <c r="O57" s="4"/>
      <c r="P57" s="4"/>
      <c r="Q57" s="4"/>
      <c r="R57" s="4"/>
      <c r="S57" s="4"/>
      <c r="T57" s="4"/>
      <c r="U57" s="4"/>
      <c r="V57" s="4"/>
    </row>
    <row r="58" spans="1:22" ht="75">
      <c r="A58" s="11">
        <v>45170.083333333328</v>
      </c>
      <c r="B58" s="12" t="s">
        <v>29</v>
      </c>
      <c r="C58" s="12" t="s">
        <v>123</v>
      </c>
      <c r="D58" s="12" t="s">
        <v>124</v>
      </c>
      <c r="E58" s="13" t="str">
        <f>HYPERLINK("https://www.eu-startups.com/2023/08/rotterdam-based-circular-platform-valyuu-raises-e2-4-million-to-give-a-new-life-to-the-growing-e-waste-pile/","EU-Startups")</f>
        <v>EU-Startups</v>
      </c>
      <c r="F58" s="14"/>
      <c r="G58" s="15"/>
      <c r="H58" s="15"/>
      <c r="I58" s="3"/>
      <c r="J58" s="4"/>
      <c r="K58" s="4"/>
      <c r="L58" s="4"/>
      <c r="M58" s="4"/>
      <c r="N58" s="4"/>
      <c r="O58" s="4"/>
      <c r="P58" s="4"/>
      <c r="Q58" s="4"/>
      <c r="R58" s="4"/>
      <c r="S58" s="4"/>
      <c r="T58" s="4"/>
      <c r="U58" s="4"/>
      <c r="V58" s="4"/>
    </row>
    <row r="59" spans="1:22" ht="62.5">
      <c r="A59" s="11">
        <v>45170.083333333328</v>
      </c>
      <c r="B59" s="12" t="s">
        <v>32</v>
      </c>
      <c r="C59" s="12" t="s">
        <v>125</v>
      </c>
      <c r="D59" s="12" t="s">
        <v>126</v>
      </c>
      <c r="E59" s="13" t="str">
        <f>HYPERLINK("https://my.weezevent.com/conference-biochar-redirect","Weezeevent")</f>
        <v>Weezeevent</v>
      </c>
      <c r="F59" s="16" t="str">
        <f>HYPERLINK("https://vb.nweurope.eu/projects/project-search/regional-development-and-integration-of-unused-biomass-wastes-as-resources-for-circular-products-and-economic-transformation-re-direct/","vb.nweurope")</f>
        <v>vb.nweurope</v>
      </c>
      <c r="G59" s="15"/>
      <c r="H59" s="15"/>
      <c r="I59" s="3"/>
      <c r="J59" s="4"/>
      <c r="K59" s="4"/>
      <c r="L59" s="4"/>
      <c r="M59" s="4"/>
      <c r="N59" s="4"/>
      <c r="O59" s="4"/>
      <c r="P59" s="4"/>
      <c r="Q59" s="4"/>
      <c r="R59" s="4"/>
      <c r="S59" s="4"/>
      <c r="T59" s="4"/>
      <c r="U59" s="4"/>
      <c r="V59" s="4"/>
    </row>
    <row r="60" spans="1:22" ht="37.5">
      <c r="A60" s="11">
        <v>45170.083333333328</v>
      </c>
      <c r="B60" s="12" t="s">
        <v>32</v>
      </c>
      <c r="C60" s="12" t="s">
        <v>127</v>
      </c>
      <c r="D60" s="12" t="s">
        <v>128</v>
      </c>
      <c r="E60" s="13" t="str">
        <f>HYPERLINK("https://www.infogreen.lu/-dossiers-du-mois-.html","Info Green")</f>
        <v>Info Green</v>
      </c>
      <c r="F60" s="14"/>
      <c r="G60" s="15"/>
      <c r="H60" s="15"/>
      <c r="I60" s="3"/>
      <c r="J60" s="4"/>
      <c r="K60" s="4"/>
      <c r="L60" s="4"/>
      <c r="M60" s="4"/>
      <c r="N60" s="4"/>
      <c r="O60" s="4"/>
      <c r="P60" s="4"/>
      <c r="Q60" s="4"/>
      <c r="R60" s="4"/>
      <c r="S60" s="4"/>
      <c r="T60" s="4"/>
      <c r="U60" s="4"/>
      <c r="V60" s="4"/>
    </row>
    <row r="61" spans="1:22" ht="37.5">
      <c r="A61" s="11">
        <v>45170.083333333328</v>
      </c>
      <c r="B61" s="12" t="s">
        <v>32</v>
      </c>
      <c r="C61" s="12" t="s">
        <v>129</v>
      </c>
      <c r="D61" s="12" t="s">
        <v>130</v>
      </c>
      <c r="E61" s="13" t="str">
        <f>HYPERLINK("https://www.circularweek.com/events-agenda","Circular Week")</f>
        <v>Circular Week</v>
      </c>
      <c r="F61" s="14"/>
      <c r="G61" s="15"/>
      <c r="H61" s="15"/>
      <c r="I61" s="3"/>
      <c r="J61" s="4"/>
      <c r="K61" s="4"/>
      <c r="L61" s="4"/>
      <c r="M61" s="4"/>
      <c r="N61" s="4"/>
      <c r="O61" s="4"/>
      <c r="P61" s="4"/>
      <c r="Q61" s="4"/>
      <c r="R61" s="4"/>
      <c r="S61" s="4"/>
      <c r="T61" s="4"/>
      <c r="U61" s="4"/>
      <c r="V61" s="4"/>
    </row>
    <row r="62" spans="1:22" ht="50">
      <c r="A62" s="11">
        <v>45170.083333333328</v>
      </c>
      <c r="B62" s="12" t="s">
        <v>32</v>
      </c>
      <c r="C62" s="12" t="s">
        <v>131</v>
      </c>
      <c r="D62" s="12" t="s">
        <v>132</v>
      </c>
      <c r="E62" s="13" t="str">
        <f>HYPERLINK("https://www.bitc.org.uk/report/in-your-hands-going-circular-for-net-zero/","BITC.org")</f>
        <v>BITC.org</v>
      </c>
      <c r="F62" s="14"/>
      <c r="G62" s="15"/>
      <c r="H62" s="15"/>
      <c r="I62" s="3"/>
      <c r="J62" s="4"/>
      <c r="K62" s="4"/>
      <c r="L62" s="4"/>
      <c r="M62" s="4"/>
      <c r="N62" s="4"/>
      <c r="O62" s="4"/>
      <c r="P62" s="4"/>
      <c r="Q62" s="4"/>
      <c r="R62" s="4"/>
      <c r="S62" s="4"/>
      <c r="T62" s="4"/>
      <c r="U62" s="4"/>
      <c r="V62" s="4"/>
    </row>
    <row r="63" spans="1:22" ht="100">
      <c r="A63" s="11">
        <v>45139.083333333328</v>
      </c>
      <c r="B63" s="12" t="s">
        <v>5</v>
      </c>
      <c r="C63" s="12" t="s">
        <v>133</v>
      </c>
      <c r="D63" s="12" t="s">
        <v>134</v>
      </c>
      <c r="E63" s="13" t="str">
        <f>HYPERLINK("https://www.luxinnovation.lu/news/study-on-the-reuse-of-construction-materials/","Luxinnovation")</f>
        <v>Luxinnovation</v>
      </c>
      <c r="F63" s="16" t="str">
        <f>HYPERLINK("https://eismea.ec.europa.eu/news/study-measuring-application-circular-approaches-construction-industry-ecosystem-2023-07-13_en","EC.Europa")</f>
        <v>EC.Europa</v>
      </c>
      <c r="G63" s="15"/>
      <c r="H63" s="15"/>
      <c r="I63" s="3"/>
      <c r="J63" s="4"/>
      <c r="K63" s="4"/>
      <c r="L63" s="4"/>
      <c r="M63" s="4"/>
      <c r="N63" s="4"/>
      <c r="O63" s="4"/>
      <c r="P63" s="4"/>
      <c r="Q63" s="4"/>
      <c r="R63" s="4"/>
      <c r="S63" s="4"/>
      <c r="T63" s="4"/>
      <c r="U63" s="4"/>
      <c r="V63" s="4"/>
    </row>
    <row r="64" spans="1:22" ht="87.5">
      <c r="A64" s="11">
        <v>45139.083333333328</v>
      </c>
      <c r="B64" s="12" t="s">
        <v>5</v>
      </c>
      <c r="C64" s="12" t="s">
        <v>135</v>
      </c>
      <c r="D64" s="12" t="s">
        <v>136</v>
      </c>
      <c r="E64" s="13" t="str">
        <f>HYPERLINK("https://csdd.public.lu/fr/actualites/2023/taxshift.html","CSDD")</f>
        <v>CSDD</v>
      </c>
      <c r="F64" s="16" t="str">
        <f>HYPERLINK("https://paperjam.lu/article/moins-impots-sur-salaires-plus","Paperjam")</f>
        <v>Paperjam</v>
      </c>
      <c r="G64" s="15"/>
      <c r="H64" s="15"/>
      <c r="I64" s="3"/>
      <c r="J64" s="4"/>
      <c r="K64" s="4"/>
      <c r="L64" s="4"/>
      <c r="M64" s="4"/>
      <c r="N64" s="4"/>
      <c r="O64" s="4"/>
      <c r="P64" s="4"/>
      <c r="Q64" s="4"/>
      <c r="R64" s="4"/>
      <c r="S64" s="4"/>
      <c r="T64" s="4"/>
      <c r="U64" s="4"/>
      <c r="V64" s="4"/>
    </row>
    <row r="65" spans="1:22" ht="50">
      <c r="A65" s="11">
        <v>45139.083333333328</v>
      </c>
      <c r="B65" s="12" t="s">
        <v>5</v>
      </c>
      <c r="C65" s="12" t="s">
        <v>137</v>
      </c>
      <c r="D65" s="12" t="s">
        <v>138</v>
      </c>
      <c r="E65" s="13" t="str">
        <f>HYPERLINK("https://www.infogreen.lu/repair-cafes-au-luxembourg-deja-1-000-objets-repares.html","Info Green")</f>
        <v>Info Green</v>
      </c>
      <c r="F65" s="16" t="str">
        <f>HYPERLINK("https://www.repaircafe.lu","Repair Cafe")</f>
        <v>Repair Cafe</v>
      </c>
      <c r="G65" s="15"/>
      <c r="H65" s="15"/>
      <c r="I65" s="3"/>
      <c r="J65" s="4"/>
      <c r="K65" s="4"/>
      <c r="L65" s="4"/>
      <c r="M65" s="4"/>
      <c r="N65" s="4"/>
      <c r="O65" s="4"/>
      <c r="P65" s="4"/>
      <c r="Q65" s="4"/>
      <c r="R65" s="4"/>
      <c r="S65" s="4"/>
      <c r="T65" s="4"/>
      <c r="U65" s="4"/>
      <c r="V65" s="4"/>
    </row>
    <row r="66" spans="1:22" ht="62.5">
      <c r="A66" s="11">
        <v>45139.083333333328</v>
      </c>
      <c r="B66" s="12" t="s">
        <v>5</v>
      </c>
      <c r="C66" s="12" t="s">
        <v>139</v>
      </c>
      <c r="D66" s="12" t="s">
        <v>140</v>
      </c>
      <c r="E66" s="13" t="str">
        <f>HYPERLINK("https://www.just-style.com/news/hm-cos-in-new-re-commerce-circular-model-trial/","Just Style.com")</f>
        <v>Just Style.com</v>
      </c>
      <c r="F66" s="14"/>
      <c r="G66" s="15"/>
      <c r="H66" s="15"/>
      <c r="I66" s="3"/>
      <c r="J66" s="4"/>
      <c r="K66" s="4"/>
      <c r="L66" s="4"/>
      <c r="M66" s="4"/>
      <c r="N66" s="4"/>
      <c r="O66" s="4"/>
      <c r="P66" s="4"/>
      <c r="Q66" s="4"/>
      <c r="R66" s="4"/>
      <c r="S66" s="4"/>
      <c r="T66" s="4"/>
      <c r="U66" s="4"/>
      <c r="V66" s="4"/>
    </row>
    <row r="67" spans="1:22" ht="75">
      <c r="A67" s="11">
        <v>45139.083333333328</v>
      </c>
      <c r="B67" s="12" t="s">
        <v>14</v>
      </c>
      <c r="C67" s="12" t="s">
        <v>141</v>
      </c>
      <c r="D67" s="12" t="s">
        <v>142</v>
      </c>
      <c r="E67" s="13" t="str">
        <f>HYPERLINK("https://www.positive.news/economics/good-business/biodegradable-shoes-and-other-smart-designs/","Positive News")</f>
        <v>Positive News</v>
      </c>
      <c r="F67" s="14"/>
      <c r="G67" s="15"/>
      <c r="H67" s="15"/>
      <c r="I67" s="3"/>
      <c r="J67" s="4"/>
      <c r="K67" s="4"/>
      <c r="L67" s="4"/>
      <c r="M67" s="4"/>
      <c r="N67" s="4"/>
      <c r="O67" s="4"/>
      <c r="P67" s="4"/>
      <c r="Q67" s="4"/>
      <c r="R67" s="4"/>
      <c r="S67" s="4"/>
      <c r="T67" s="4"/>
      <c r="U67" s="4"/>
      <c r="V67" s="4"/>
    </row>
    <row r="68" spans="1:22" ht="62.5">
      <c r="A68" s="11">
        <v>45139.083333333328</v>
      </c>
      <c r="B68" s="12" t="s">
        <v>21</v>
      </c>
      <c r="C68" s="12" t="s">
        <v>143</v>
      </c>
      <c r="D68" s="12" t="s">
        <v>144</v>
      </c>
      <c r="E68" s="13" t="str">
        <f>HYPERLINK("https://www.innovationnewsnetwork.com/test-before-investing-inn-pressme-open-innovation-test-bed-services/31826/","Innovations News Network")</f>
        <v>Innovations News Network</v>
      </c>
      <c r="F68" s="16" t="str">
        <f>HYPERLINK("https://www.inn-pressme.eu","INN")</f>
        <v>INN</v>
      </c>
      <c r="G68" s="15"/>
      <c r="H68" s="15"/>
      <c r="I68" s="3"/>
      <c r="J68" s="4"/>
      <c r="K68" s="4"/>
      <c r="L68" s="4"/>
      <c r="M68" s="4"/>
      <c r="N68" s="4"/>
      <c r="O68" s="4"/>
      <c r="P68" s="4"/>
      <c r="Q68" s="4"/>
      <c r="R68" s="4"/>
      <c r="S68" s="4"/>
      <c r="T68" s="4"/>
      <c r="U68" s="4"/>
      <c r="V68" s="4"/>
    </row>
    <row r="69" spans="1:22" ht="75">
      <c r="A69" s="11">
        <v>45139.083333333328</v>
      </c>
      <c r="B69" s="12" t="s">
        <v>21</v>
      </c>
      <c r="C69" s="12" t="s">
        <v>145</v>
      </c>
      <c r="D69" s="12" t="s">
        <v>146</v>
      </c>
      <c r="E69" s="13" t="str">
        <f>HYPERLINK("https://biolush.eu","Bio Lush")</f>
        <v>Bio Lush</v>
      </c>
      <c r="F69" s="14"/>
      <c r="G69" s="15"/>
      <c r="H69" s="15"/>
      <c r="I69" s="3"/>
      <c r="J69" s="4"/>
      <c r="K69" s="4"/>
      <c r="L69" s="4"/>
      <c r="M69" s="4"/>
      <c r="N69" s="4"/>
      <c r="O69" s="4"/>
      <c r="P69" s="4"/>
      <c r="Q69" s="4"/>
      <c r="R69" s="4"/>
      <c r="S69" s="4"/>
      <c r="T69" s="4"/>
      <c r="U69" s="4"/>
      <c r="V69" s="4"/>
    </row>
    <row r="70" spans="1:22" ht="87.5">
      <c r="A70" s="11">
        <v>45139.083333333328</v>
      </c>
      <c r="B70" s="12" t="s">
        <v>24</v>
      </c>
      <c r="C70" s="12" t="s">
        <v>147</v>
      </c>
      <c r="D70" s="12" t="s">
        <v>148</v>
      </c>
      <c r="E70" s="13" t="str">
        <f>HYPERLINK("https://www.gouvernement.fr/france-2030-lancement-de-l-aap-pour-faire-emerger-une-economie-du-numerique-innovante-circulaire-et","Gouv.fr")</f>
        <v>Gouv.fr</v>
      </c>
      <c r="F70" s="14"/>
      <c r="G70" s="15"/>
      <c r="H70" s="15"/>
      <c r="I70" s="3"/>
      <c r="J70" s="4"/>
      <c r="K70" s="4"/>
      <c r="L70" s="4"/>
      <c r="M70" s="4"/>
      <c r="N70" s="4"/>
      <c r="O70" s="4"/>
      <c r="P70" s="4"/>
      <c r="Q70" s="4"/>
      <c r="R70" s="4"/>
      <c r="S70" s="4"/>
      <c r="T70" s="4"/>
      <c r="U70" s="4"/>
      <c r="V70" s="4"/>
    </row>
    <row r="71" spans="1:22" ht="75">
      <c r="A71" s="11">
        <v>45139.083333333328</v>
      </c>
      <c r="B71" s="12" t="s">
        <v>24</v>
      </c>
      <c r="C71" s="12" t="s">
        <v>149</v>
      </c>
      <c r="D71" s="12" t="s">
        <v>150</v>
      </c>
      <c r="E71" s="13" t="str">
        <f>HYPERLINK("https://joint-research-centre.ec.europa.eu/jrc-news-and-updates/innovative-requirements-could-boost-circular-economy-plastics-and-critical-raw-materials-vehicles-2023-07-13_en","EC.Europa")</f>
        <v>EC.Europa</v>
      </c>
      <c r="F71" s="14"/>
      <c r="G71" s="15"/>
      <c r="H71" s="15"/>
      <c r="I71" s="3"/>
      <c r="J71" s="4"/>
      <c r="K71" s="4"/>
      <c r="L71" s="4"/>
      <c r="M71" s="4"/>
      <c r="N71" s="4"/>
      <c r="O71" s="4"/>
      <c r="P71" s="4"/>
      <c r="Q71" s="4"/>
      <c r="R71" s="4"/>
      <c r="S71" s="4"/>
      <c r="T71" s="4"/>
      <c r="U71" s="4"/>
      <c r="V71" s="4"/>
    </row>
    <row r="72" spans="1:22" ht="62.5">
      <c r="A72" s="11">
        <v>45139.083333333328</v>
      </c>
      <c r="B72" s="12" t="s">
        <v>24</v>
      </c>
      <c r="C72" s="12" t="s">
        <v>151</v>
      </c>
      <c r="D72" s="12" t="s">
        <v>152</v>
      </c>
      <c r="E72" s="13" t="str">
        <f>HYPERLINK("https://www.gov.uk/government/news/new-programme-to-drive-better-reuse-of-resources-and-increase-recycling","Gov.uk")</f>
        <v>Gov.uk</v>
      </c>
      <c r="F72" s="14"/>
      <c r="G72" s="15"/>
      <c r="H72" s="15"/>
      <c r="I72" s="3"/>
      <c r="J72" s="4"/>
      <c r="K72" s="4"/>
      <c r="L72" s="4"/>
      <c r="M72" s="4"/>
      <c r="N72" s="4"/>
      <c r="O72" s="4"/>
      <c r="P72" s="4"/>
      <c r="Q72" s="4"/>
      <c r="R72" s="4"/>
      <c r="S72" s="4"/>
      <c r="T72" s="4"/>
      <c r="U72" s="4"/>
      <c r="V72" s="4"/>
    </row>
    <row r="73" spans="1:22" ht="75">
      <c r="A73" s="11">
        <v>45139.083333333328</v>
      </c>
      <c r="B73" s="12" t="s">
        <v>29</v>
      </c>
      <c r="C73" s="12" t="s">
        <v>153</v>
      </c>
      <c r="D73" s="12" t="s">
        <v>154</v>
      </c>
      <c r="E73" s="13" t="str">
        <f>HYPERLINK("https://www.aoproptech.com/news/a-o-launches-new-eu250-million-fund-ii-announcing-the-first-close-of-its-eu250mn-target-to-double-down-on-the-positive-transformation-of-the-built-world-and-target-our-climate-crisis","AO Proptech")</f>
        <v>AO Proptech</v>
      </c>
      <c r="F73" s="14"/>
      <c r="G73" s="15"/>
      <c r="H73" s="15"/>
      <c r="I73" s="3"/>
      <c r="J73" s="4"/>
      <c r="K73" s="4"/>
      <c r="L73" s="4"/>
      <c r="M73" s="4"/>
      <c r="N73" s="4"/>
      <c r="O73" s="4"/>
      <c r="P73" s="4"/>
      <c r="Q73" s="4"/>
      <c r="R73" s="4"/>
      <c r="S73" s="4"/>
      <c r="T73" s="4"/>
      <c r="U73" s="4"/>
      <c r="V73" s="4"/>
    </row>
    <row r="74" spans="1:22" ht="62.5">
      <c r="A74" s="11">
        <v>45139.083333333328</v>
      </c>
      <c r="B74" s="12" t="s">
        <v>29</v>
      </c>
      <c r="C74" s="12" t="s">
        <v>155</v>
      </c>
      <c r="D74" s="12" t="s">
        <v>156</v>
      </c>
      <c r="E74" s="13" t="str">
        <f>HYPERLINK("https://www.wbcsd.org/Programs/Circular-Economy/Metrics-Measurement/Resources/Preparing-the-road-to-circular-economy-reporting-Understanding-the-Circular-Transition-Indicators-and-how-they-support-CSRD-reporting","WBCSD")</f>
        <v>WBCSD</v>
      </c>
      <c r="F74" s="14"/>
      <c r="G74" s="15"/>
      <c r="H74" s="15"/>
      <c r="I74" s="3"/>
      <c r="J74" s="4"/>
      <c r="K74" s="4"/>
      <c r="L74" s="4"/>
      <c r="M74" s="4"/>
      <c r="N74" s="4"/>
      <c r="O74" s="4"/>
      <c r="P74" s="4"/>
      <c r="Q74" s="4"/>
      <c r="R74" s="4"/>
      <c r="S74" s="4"/>
      <c r="T74" s="4"/>
      <c r="U74" s="4"/>
      <c r="V74" s="4"/>
    </row>
    <row r="75" spans="1:22" ht="75">
      <c r="A75" s="11">
        <v>45139.083333333328</v>
      </c>
      <c r="B75" s="12" t="s">
        <v>29</v>
      </c>
      <c r="C75" s="12" t="s">
        <v>157</v>
      </c>
      <c r="D75" s="12" t="s">
        <v>158</v>
      </c>
      <c r="E75" s="13" t="str">
        <f>HYPERLINK("https://www.reinsurancene.ws/recycling-industry-struggles-with-insufficient-insurance-for-circular-economy-growth-swiss-re/","Reinsurance WS")</f>
        <v>Reinsurance WS</v>
      </c>
      <c r="F75" s="16" t="str">
        <f>HYPERLINK("https://www.swissre.com/swissre/institute/research/topics-and-risk-dialogues/economy-and-insurance-outlook/expertise-publication-circular-economy-recycling.html","Swiss Re")</f>
        <v>Swiss Re</v>
      </c>
      <c r="G75" s="15"/>
      <c r="H75" s="15"/>
      <c r="I75" s="3"/>
      <c r="J75" s="4"/>
      <c r="K75" s="4"/>
      <c r="L75" s="4"/>
      <c r="M75" s="4"/>
      <c r="N75" s="4"/>
      <c r="O75" s="4"/>
      <c r="P75" s="4"/>
      <c r="Q75" s="4"/>
      <c r="R75" s="4"/>
      <c r="S75" s="4"/>
      <c r="T75" s="4"/>
      <c r="U75" s="4"/>
      <c r="V75" s="4"/>
    </row>
    <row r="76" spans="1:22" ht="87.5">
      <c r="A76" s="11">
        <v>45139.083333333328</v>
      </c>
      <c r="B76" s="12" t="s">
        <v>32</v>
      </c>
      <c r="C76" s="12" t="s">
        <v>159</v>
      </c>
      <c r="D76" s="12" t="s">
        <v>160</v>
      </c>
      <c r="E76" s="13" t="str">
        <f>HYPERLINK("https://my.weezevent.com/meetbuild-les-enjeux-de-la-construction-et-economie-circulaire","weezevent")</f>
        <v>weezevent</v>
      </c>
      <c r="F76" s="16" t="str">
        <f>HYPERLINK("https://my.weezevent.com/cncd-high-level-conference-20-septembre-2023","weezevent")</f>
        <v>weezevent</v>
      </c>
      <c r="G76" s="15"/>
      <c r="H76" s="15"/>
      <c r="I76" s="3"/>
      <c r="J76" s="4"/>
      <c r="K76" s="4"/>
      <c r="L76" s="4"/>
      <c r="M76" s="4"/>
      <c r="N76" s="4"/>
      <c r="O76" s="4"/>
      <c r="P76" s="4"/>
      <c r="Q76" s="4"/>
      <c r="R76" s="4"/>
      <c r="S76" s="4"/>
      <c r="T76" s="4"/>
      <c r="U76" s="4"/>
      <c r="V76" s="4"/>
    </row>
    <row r="77" spans="1:22" ht="50">
      <c r="A77" s="11">
        <v>45139.083333333328</v>
      </c>
      <c r="B77" s="12" t="s">
        <v>32</v>
      </c>
      <c r="C77" s="12" t="s">
        <v>161</v>
      </c>
      <c r="D77" s="12" t="s">
        <v>162</v>
      </c>
      <c r="E77" s="13" t="str">
        <f>HYPERLINK("https://circulareconomy.europa.eu/platform/en/news-and-events/all-events/dialogues-circular-economy-strategies-transitioning-food-waste-reduction-zero-food-waste-eu","Circular.Europa")</f>
        <v>Circular.Europa</v>
      </c>
      <c r="F77" s="14"/>
      <c r="G77" s="15"/>
      <c r="H77" s="15"/>
      <c r="I77" s="3"/>
      <c r="J77" s="4"/>
      <c r="K77" s="4"/>
      <c r="L77" s="4"/>
      <c r="M77" s="4"/>
      <c r="N77" s="4"/>
      <c r="O77" s="4"/>
      <c r="P77" s="4"/>
      <c r="Q77" s="4"/>
      <c r="R77" s="4"/>
      <c r="S77" s="4"/>
      <c r="T77" s="4"/>
      <c r="U77" s="4"/>
      <c r="V77" s="4"/>
    </row>
    <row r="78" spans="1:22" ht="87.5">
      <c r="A78" s="11">
        <v>45108.083333333328</v>
      </c>
      <c r="B78" s="12" t="s">
        <v>5</v>
      </c>
      <c r="C78" s="12" t="s">
        <v>163</v>
      </c>
      <c r="D78" s="12" t="s">
        <v>164</v>
      </c>
      <c r="E78" s="13" t="str">
        <f>HYPERLINK("https://www.infogreen.lu/une-transition-qui-passe-par-la-cooperation.html","InfoGreen")</f>
        <v>InfoGreen</v>
      </c>
      <c r="F78" s="14"/>
      <c r="G78" s="15"/>
      <c r="H78" s="15"/>
      <c r="I78" s="3"/>
      <c r="J78" s="4"/>
      <c r="K78" s="4"/>
      <c r="L78" s="4"/>
      <c r="M78" s="4"/>
      <c r="N78" s="4"/>
      <c r="O78" s="4"/>
      <c r="P78" s="4"/>
      <c r="Q78" s="4"/>
      <c r="R78" s="4"/>
      <c r="S78" s="4"/>
      <c r="T78" s="4"/>
      <c r="U78" s="4"/>
      <c r="V78" s="4"/>
    </row>
    <row r="79" spans="1:22" ht="50">
      <c r="A79" s="11">
        <v>45108.083333333328</v>
      </c>
      <c r="B79" s="12" t="s">
        <v>5</v>
      </c>
      <c r="C79" s="12" t="s">
        <v>165</v>
      </c>
      <c r="D79" s="12" t="s">
        <v>166</v>
      </c>
      <c r="E79" s="13" t="str">
        <f>HYPERLINK("https://www.infogreen.lu/tout-savoir-pour-donner-une-seconde-vie-a-vos-appareils.html","InfoGreen")</f>
        <v>InfoGreen</v>
      </c>
      <c r="F79" s="14"/>
      <c r="G79" s="15"/>
      <c r="H79" s="15"/>
      <c r="I79" s="3"/>
      <c r="J79" s="4"/>
      <c r="K79" s="4"/>
      <c r="L79" s="4"/>
      <c r="M79" s="4"/>
      <c r="N79" s="4"/>
      <c r="O79" s="4"/>
      <c r="P79" s="4"/>
      <c r="Q79" s="4"/>
      <c r="R79" s="4"/>
      <c r="S79" s="4"/>
      <c r="T79" s="4"/>
      <c r="U79" s="4"/>
      <c r="V79" s="4"/>
    </row>
    <row r="80" spans="1:22" ht="50">
      <c r="A80" s="11">
        <v>45108.083333333328</v>
      </c>
      <c r="B80" s="12" t="s">
        <v>5</v>
      </c>
      <c r="C80" s="12" t="s">
        <v>167</v>
      </c>
      <c r="D80" s="12" t="s">
        <v>168</v>
      </c>
      <c r="E80" s="13" t="str">
        <f>HYPERLINK("https://tech.eu/2023/07/02/bike-club/","tech.eu")</f>
        <v>tech.eu</v>
      </c>
      <c r="F80" s="14"/>
      <c r="G80" s="15"/>
      <c r="H80" s="15"/>
      <c r="I80" s="3"/>
      <c r="J80" s="4"/>
      <c r="K80" s="4"/>
      <c r="L80" s="4"/>
      <c r="M80" s="4"/>
      <c r="N80" s="4"/>
      <c r="O80" s="4"/>
      <c r="P80" s="4"/>
      <c r="Q80" s="4"/>
      <c r="R80" s="4"/>
      <c r="S80" s="4"/>
      <c r="T80" s="4"/>
      <c r="U80" s="4"/>
      <c r="V80" s="4"/>
    </row>
    <row r="81" spans="1:22" ht="62.5">
      <c r="A81" s="11">
        <v>45108.083333333328</v>
      </c>
      <c r="B81" s="12" t="s">
        <v>14</v>
      </c>
      <c r="C81" s="12" t="s">
        <v>169</v>
      </c>
      <c r="D81" s="12" t="s">
        <v>170</v>
      </c>
      <c r="E81" s="13" t="str">
        <f>HYPERLINK("https://www.startupluxembourg.com/fit-4-start","StartupLuxembourg")</f>
        <v>StartupLuxembourg</v>
      </c>
      <c r="F81" s="14"/>
      <c r="G81" s="15"/>
      <c r="H81" s="15"/>
      <c r="I81" s="3"/>
      <c r="J81" s="4"/>
      <c r="K81" s="4"/>
      <c r="L81" s="4"/>
      <c r="M81" s="4"/>
      <c r="N81" s="4"/>
      <c r="O81" s="4"/>
      <c r="P81" s="4"/>
      <c r="Q81" s="4"/>
      <c r="R81" s="4"/>
      <c r="S81" s="4"/>
      <c r="T81" s="4"/>
      <c r="U81" s="4"/>
      <c r="V81" s="4"/>
    </row>
    <row r="82" spans="1:22" ht="50">
      <c r="A82" s="11">
        <v>45108.083333333328</v>
      </c>
      <c r="B82" s="12" t="s">
        <v>14</v>
      </c>
      <c r="C82" s="12" t="s">
        <v>171</v>
      </c>
      <c r="D82" s="12" t="s">
        <v>172</v>
      </c>
      <c r="E82" s="13" t="str">
        <f>HYPERLINK("https://electrek.co/2023/06/27/factorial-circular-economy-solid-state-batteries-recycling-lithium-metal-ev-energy/","electrek")</f>
        <v>electrek</v>
      </c>
      <c r="F82" s="14"/>
      <c r="G82" s="15"/>
      <c r="H82" s="15"/>
      <c r="I82" s="3"/>
      <c r="J82" s="4"/>
      <c r="K82" s="4"/>
      <c r="L82" s="4"/>
      <c r="M82" s="4"/>
      <c r="N82" s="4"/>
      <c r="O82" s="4"/>
      <c r="P82" s="4"/>
      <c r="Q82" s="4"/>
      <c r="R82" s="4"/>
      <c r="S82" s="4"/>
      <c r="T82" s="4"/>
      <c r="U82" s="4"/>
      <c r="V82" s="4"/>
    </row>
    <row r="83" spans="1:22" ht="62.5">
      <c r="A83" s="11">
        <v>45108.083333333328</v>
      </c>
      <c r="B83" s="12" t="s">
        <v>21</v>
      </c>
      <c r="C83" s="12" t="s">
        <v>173</v>
      </c>
      <c r="D83" s="12" t="s">
        <v>174</v>
      </c>
      <c r="E83" s="13" t="str">
        <f>HYPERLINK("https://www.whitehouse.gov/ostp/news-updates/2023/06/27/fact-sheet-biden-harris-administration-announces-new-action-plan-to-bolster-expand-and-diversify-americas-biotechnology-and-biomanufacturing-workforce/","The White House")</f>
        <v>The White House</v>
      </c>
      <c r="F83" s="14"/>
      <c r="G83" s="15"/>
      <c r="H83" s="15"/>
      <c r="I83" s="3"/>
      <c r="J83" s="4"/>
      <c r="K83" s="4"/>
      <c r="L83" s="4"/>
      <c r="M83" s="4"/>
      <c r="N83" s="4"/>
      <c r="O83" s="4"/>
      <c r="P83" s="4"/>
      <c r="Q83" s="4"/>
      <c r="R83" s="4"/>
      <c r="S83" s="4"/>
      <c r="T83" s="4"/>
      <c r="U83" s="4"/>
      <c r="V83" s="4"/>
    </row>
    <row r="84" spans="1:22" ht="62.5">
      <c r="A84" s="11">
        <v>45108.083333333328</v>
      </c>
      <c r="B84" s="12" t="s">
        <v>24</v>
      </c>
      <c r="C84" s="12" t="s">
        <v>175</v>
      </c>
      <c r="D84" s="12" t="s">
        <v>176</v>
      </c>
      <c r="E84" s="13" t="str">
        <f>HYPERLINK("https://www.eca.europa.eu/en/news/NEWS-SR-2023-17","Eca Europa")</f>
        <v>Eca Europa</v>
      </c>
      <c r="F84" s="16" t="str">
        <f>HYPERLINK("https://www.eca.europa.eu/ECAPublications/SR-2023-17/SR-2023-17_EN.pdf","Eca Europa")</f>
        <v>Eca Europa</v>
      </c>
      <c r="G84" s="17" t="str">
        <f>HYPERLINK("https://www.eea.europa.eu/publications/how-far-is-europe-from","EEA")</f>
        <v>EEA</v>
      </c>
      <c r="H84" s="19" t="str">
        <f>HYPERLINK("https://www.eea.europa.eu/publications/many-eu-member-states/early-warning-assessment-related-to","EEA")</f>
        <v>EEA</v>
      </c>
      <c r="I84" s="3"/>
      <c r="J84" s="4"/>
      <c r="K84" s="4"/>
      <c r="L84" s="4"/>
      <c r="M84" s="4"/>
      <c r="N84" s="4"/>
      <c r="O84" s="4"/>
      <c r="P84" s="4"/>
      <c r="Q84" s="4"/>
      <c r="R84" s="4"/>
      <c r="S84" s="4"/>
      <c r="T84" s="4"/>
      <c r="U84" s="4"/>
      <c r="V84" s="4"/>
    </row>
    <row r="85" spans="1:22" ht="62.5">
      <c r="A85" s="11">
        <v>45108.083333333328</v>
      </c>
      <c r="B85" s="12" t="s">
        <v>24</v>
      </c>
      <c r="C85" s="12" t="s">
        <v>177</v>
      </c>
      <c r="D85" s="12" t="s">
        <v>178</v>
      </c>
      <c r="E85" s="13" t="str">
        <f>HYPERLINK("https://www.consilium.europa.eu/en/press/press-releases/2023/07/10/council-adopts-new-regulation-on-batteries-and-waste-batteries/?utm_source=dsms-auto&amp;utm_medium=email&amp;utm_campaign=Council+adopts+new+regulation+on+batteries+and+waste+batteries","Europa.EU")</f>
        <v>Europa.EU</v>
      </c>
      <c r="F85" s="16" t="str">
        <f>HYPERLINK("https://ec.europa.eu/commission/presscorner/detail/en/ip_23_3315","Europa.EU")</f>
        <v>Europa.EU</v>
      </c>
      <c r="G85" s="15"/>
      <c r="H85" s="15"/>
      <c r="I85" s="3"/>
      <c r="J85" s="4"/>
      <c r="K85" s="4"/>
      <c r="L85" s="4"/>
      <c r="M85" s="4"/>
      <c r="N85" s="4"/>
      <c r="O85" s="4"/>
      <c r="P85" s="4"/>
      <c r="Q85" s="4"/>
      <c r="R85" s="4"/>
      <c r="S85" s="4"/>
      <c r="T85" s="4"/>
      <c r="U85" s="4"/>
      <c r="V85" s="4"/>
    </row>
    <row r="86" spans="1:22" ht="75">
      <c r="A86" s="11">
        <v>45108.083333333328</v>
      </c>
      <c r="B86" s="12" t="s">
        <v>24</v>
      </c>
      <c r="C86" s="12" t="s">
        <v>179</v>
      </c>
      <c r="D86" s="12" t="s">
        <v>180</v>
      </c>
      <c r="E86" s="13" t="str">
        <f>HYPERLINK("https://www.bbc.co.uk/news/business-65696083","BBC")</f>
        <v>BBC</v>
      </c>
      <c r="F86" s="16" t="str">
        <f>HYPERLINK("https://unitedrepaircentre.com/manifesto/","United Repair Centre")</f>
        <v>United Repair Centre</v>
      </c>
      <c r="G86" s="17" t="str">
        <f>HYPERLINK("https://madaster.com/our-purpose/","Madaster")</f>
        <v>Madaster</v>
      </c>
      <c r="H86" s="15"/>
      <c r="I86" s="3"/>
      <c r="J86" s="4"/>
      <c r="K86" s="4"/>
      <c r="L86" s="4"/>
      <c r="M86" s="4"/>
      <c r="N86" s="4"/>
      <c r="O86" s="4"/>
      <c r="P86" s="4"/>
      <c r="Q86" s="4"/>
      <c r="R86" s="4"/>
      <c r="S86" s="4"/>
      <c r="T86" s="4"/>
      <c r="U86" s="4"/>
      <c r="V86" s="4"/>
    </row>
    <row r="87" spans="1:22" ht="62.5">
      <c r="A87" s="11">
        <v>45108.083333333328</v>
      </c>
      <c r="B87" s="12" t="s">
        <v>29</v>
      </c>
      <c r="C87" s="12" t="s">
        <v>181</v>
      </c>
      <c r="D87" s="12" t="s">
        <v>182</v>
      </c>
      <c r="E87" s="13" t="str">
        <f>HYPERLINK("https://agfundernews.com/hyfe-raises-9m-to-turn-wastewater-into-feedstocks-for-bioeconomy","Agfundernews")</f>
        <v>Agfundernews</v>
      </c>
      <c r="F87" s="14"/>
      <c r="G87" s="15"/>
      <c r="H87" s="15"/>
      <c r="I87" s="3"/>
      <c r="J87" s="4"/>
      <c r="K87" s="4"/>
      <c r="L87" s="4"/>
      <c r="M87" s="4"/>
      <c r="N87" s="4"/>
      <c r="O87" s="4"/>
      <c r="P87" s="4"/>
      <c r="Q87" s="4"/>
      <c r="R87" s="4"/>
      <c r="S87" s="4"/>
      <c r="T87" s="4"/>
      <c r="U87" s="4"/>
      <c r="V87" s="4"/>
    </row>
    <row r="88" spans="1:22" ht="62.5">
      <c r="A88" s="11">
        <v>45108.083333333328</v>
      </c>
      <c r="B88" s="12" t="s">
        <v>29</v>
      </c>
      <c r="C88" s="12" t="s">
        <v>183</v>
      </c>
      <c r="D88" s="12" t="s">
        <v>184</v>
      </c>
      <c r="E88" s="13" t="str">
        <f>HYPERLINK("https://www.chathamhouse.org/2023/06/making-sustainable-finance-taxonomies-work-circular-economy","Chatham House")</f>
        <v>Chatham House</v>
      </c>
      <c r="F88" s="16" t="str">
        <f>HYPERLINK("https://www.houseofsustainability.lu/agenda/detail/taxonomie-verte-opportunites-et-defis-pour-les-pme?tx_ccagenda_agenda%5Bmonth%5D=2023-07&amp;cHash=adbf53c5a8779a1029270cf0053cd007","House of Sustainability")</f>
        <v>House of Sustainability</v>
      </c>
      <c r="G88" s="15"/>
      <c r="H88" s="15"/>
      <c r="I88" s="3"/>
      <c r="J88" s="4"/>
      <c r="K88" s="4"/>
      <c r="L88" s="4"/>
      <c r="M88" s="4"/>
      <c r="N88" s="4"/>
      <c r="O88" s="4"/>
      <c r="P88" s="4"/>
      <c r="Q88" s="4"/>
      <c r="R88" s="4"/>
      <c r="S88" s="4"/>
      <c r="T88" s="4"/>
      <c r="U88" s="4"/>
      <c r="V88" s="4"/>
    </row>
    <row r="89" spans="1:22" ht="75">
      <c r="A89" s="11">
        <v>45108.083333333328</v>
      </c>
      <c r="B89" s="12" t="s">
        <v>29</v>
      </c>
      <c r="C89" s="12" t="s">
        <v>185</v>
      </c>
      <c r="D89" s="12" t="s">
        <v>186</v>
      </c>
      <c r="E89" s="13" t="str">
        <f>HYPERLINK("https://www.edie.net/virgin-media-o2-to-fund-community-led-circular-economy-initiatives/","Edie.net")</f>
        <v>Edie.net</v>
      </c>
      <c r="F89" s="16" t="str">
        <f>HYPERLINK("https://www.hubbub.org.uk/what-we-do","Hubbub")</f>
        <v>Hubbub</v>
      </c>
      <c r="G89" s="17" t="str">
        <f>HYPERLINK("https://repair.eu/our-network/","Repair.EU")</f>
        <v>Repair.EU</v>
      </c>
      <c r="H89" s="15"/>
      <c r="I89" s="3"/>
      <c r="J89" s="4"/>
      <c r="K89" s="4"/>
      <c r="L89" s="4"/>
      <c r="M89" s="4"/>
      <c r="N89" s="4"/>
      <c r="O89" s="4"/>
      <c r="P89" s="4"/>
      <c r="Q89" s="4"/>
      <c r="R89" s="4"/>
      <c r="S89" s="4"/>
      <c r="T89" s="4"/>
      <c r="U89" s="4"/>
      <c r="V89" s="4"/>
    </row>
    <row r="90" spans="1:22" ht="50">
      <c r="A90" s="11">
        <v>45108.083333333328</v>
      </c>
      <c r="B90" s="12" t="s">
        <v>32</v>
      </c>
      <c r="C90" s="12" t="s">
        <v>187</v>
      </c>
      <c r="D90" s="12" t="s">
        <v>188</v>
      </c>
      <c r="E90" s="13" t="str">
        <f>HYPERLINK("https://www.infogreen.lu/des-projets-qui-invitent-au-partage.html","InfoGreen")</f>
        <v>InfoGreen</v>
      </c>
      <c r="F90" s="14"/>
      <c r="G90" s="15"/>
      <c r="H90" s="15"/>
      <c r="I90" s="3"/>
      <c r="J90" s="4"/>
      <c r="K90" s="4"/>
      <c r="L90" s="4"/>
      <c r="M90" s="4"/>
      <c r="N90" s="4"/>
      <c r="O90" s="4"/>
      <c r="P90" s="4"/>
      <c r="Q90" s="4"/>
      <c r="R90" s="4"/>
      <c r="S90" s="4"/>
      <c r="T90" s="4"/>
      <c r="U90" s="4"/>
      <c r="V90" s="4"/>
    </row>
    <row r="91" spans="1:22" ht="50">
      <c r="A91" s="11">
        <v>45108.083333333328</v>
      </c>
      <c r="B91" s="12" t="s">
        <v>32</v>
      </c>
      <c r="C91" s="12" t="s">
        <v>189</v>
      </c>
      <c r="D91" s="12" t="s">
        <v>190</v>
      </c>
      <c r="E91" s="13" t="str">
        <f>HYPERLINK("https://www.eea.europa.eu/publications/the-benefits-to-biodiversity","EEA.Europa")</f>
        <v>EEA.Europa</v>
      </c>
      <c r="F91" s="16" t="str">
        <f>HYPERLINK("https://www.eea.europa.eu/publications/environment-and-climate-pressures-from/environment-and-climate-pressures-from","EEA.Europa")</f>
        <v>EEA.Europa</v>
      </c>
      <c r="G91" s="17" t="str">
        <f>HYPERLINK("https://www.eea.europa.eu/publications/tracking-waste-prevention-progress","EEA.Europa")</f>
        <v>EEA.Europa</v>
      </c>
      <c r="H91" s="19" t="str">
        <f>HYPERLINK("https://www.eea.europa.eu/en/circularity/","EEA.Europa")</f>
        <v>EEA.Europa</v>
      </c>
      <c r="I91" s="3"/>
      <c r="J91" s="4"/>
      <c r="K91" s="4"/>
      <c r="L91" s="4"/>
      <c r="M91" s="4"/>
      <c r="N91" s="4"/>
      <c r="O91" s="4"/>
      <c r="P91" s="4"/>
      <c r="Q91" s="4"/>
      <c r="R91" s="4"/>
      <c r="S91" s="4"/>
      <c r="T91" s="4"/>
      <c r="U91" s="4"/>
      <c r="V91" s="4"/>
    </row>
    <row r="92" spans="1:22" ht="87.5">
      <c r="A92" s="11">
        <v>45108.083333333328</v>
      </c>
      <c r="B92" s="12" t="s">
        <v>32</v>
      </c>
      <c r="C92" s="12" t="s">
        <v>191</v>
      </c>
      <c r="D92" s="12" t="s">
        <v>192</v>
      </c>
      <c r="E92" s="13" t="str">
        <f>HYPERLINK("https://pub.norden.org/us2023-441/us2023-441.pdf","Pub.Norden")</f>
        <v>Pub.Norden</v>
      </c>
      <c r="F92" s="16" t="str">
        <f>HYPERLINK("https://op.europa.eu/en/publication-detail/-/publication/2f3b2373-1173-11ee-b12e-01aa75ed71a1/language-en/format-PDF/source-288378130","Europa.EU")</f>
        <v>Europa.EU</v>
      </c>
      <c r="G92" s="15"/>
      <c r="H92" s="15"/>
      <c r="I92" s="3"/>
      <c r="J92" s="4"/>
      <c r="K92" s="4"/>
      <c r="L92" s="4"/>
      <c r="M92" s="4"/>
      <c r="N92" s="4"/>
      <c r="O92" s="4"/>
      <c r="P92" s="4"/>
      <c r="Q92" s="4"/>
      <c r="R92" s="4"/>
      <c r="S92" s="4"/>
      <c r="T92" s="4"/>
      <c r="U92" s="4"/>
      <c r="V92" s="4"/>
    </row>
    <row r="93" spans="1:22" ht="75">
      <c r="A93" s="11">
        <v>45078.083333333328</v>
      </c>
      <c r="B93" s="12" t="s">
        <v>5</v>
      </c>
      <c r="C93" s="12" t="s">
        <v>193</v>
      </c>
      <c r="D93" s="12" t="s">
        <v>194</v>
      </c>
      <c r="E93" s="13" t="str">
        <f>HYPERLINK("https://www.unep.org/resources/turning-off-tap-end-plastic-pollution-create-circular-economy","UNEP")</f>
        <v>UNEP</v>
      </c>
      <c r="F93" s="14"/>
      <c r="G93" s="15"/>
      <c r="H93" s="15"/>
      <c r="I93" s="3"/>
      <c r="J93" s="4"/>
      <c r="K93" s="4"/>
      <c r="L93" s="4"/>
      <c r="M93" s="4"/>
      <c r="N93" s="4"/>
      <c r="O93" s="4"/>
      <c r="P93" s="4"/>
      <c r="Q93" s="4"/>
      <c r="R93" s="4"/>
      <c r="S93" s="4"/>
      <c r="T93" s="4"/>
      <c r="U93" s="4"/>
      <c r="V93" s="4"/>
    </row>
    <row r="94" spans="1:22" ht="62.5">
      <c r="A94" s="11">
        <v>45078.083333333328</v>
      </c>
      <c r="B94" s="12" t="s">
        <v>5</v>
      </c>
      <c r="C94" s="12" t="s">
        <v>195</v>
      </c>
      <c r="D94" s="12" t="s">
        <v>196</v>
      </c>
      <c r="E94" s="13" t="str">
        <f>HYPERLINK("https://news.exeter.ac.uk/faculty-of-environment-science-and-economy/customer-experience-vital-but-overlooked-component-successful-circular-business-models-report/","Exeter University")</f>
        <v>Exeter University</v>
      </c>
      <c r="F94" s="16" t="str">
        <f>HYPERLINK("https://clarasys.com/customer-experience-in-a-circular-economy","Clarasys.com")</f>
        <v>Clarasys.com</v>
      </c>
      <c r="G94" s="15"/>
      <c r="H94" s="15"/>
      <c r="I94" s="3"/>
      <c r="J94" s="4"/>
      <c r="K94" s="4"/>
      <c r="L94" s="4"/>
      <c r="M94" s="4"/>
      <c r="N94" s="4"/>
      <c r="O94" s="4"/>
      <c r="P94" s="4"/>
      <c r="Q94" s="4"/>
      <c r="R94" s="4"/>
      <c r="S94" s="4"/>
      <c r="T94" s="4"/>
      <c r="U94" s="4"/>
      <c r="V94" s="4"/>
    </row>
    <row r="95" spans="1:22" ht="62.5">
      <c r="A95" s="11">
        <v>45078.083333333328</v>
      </c>
      <c r="B95" s="12" t="s">
        <v>14</v>
      </c>
      <c r="C95" s="12" t="s">
        <v>197</v>
      </c>
      <c r="D95" s="12" t="s">
        <v>198</v>
      </c>
      <c r="E95" s="13" t="str">
        <f>HYPERLINK("https://www.infogreen.lu/construction-circulaire-l-exemple-creatif-de-l-aerdscheff.html","Info Green")</f>
        <v>Info Green</v>
      </c>
      <c r="F95" s="16" t="str">
        <f>HYPERLINK("https://aerdscheff.lu","Aerdscheff.lu")</f>
        <v>Aerdscheff.lu</v>
      </c>
      <c r="G95" s="15"/>
      <c r="H95" s="15"/>
      <c r="I95" s="3"/>
      <c r="J95" s="4"/>
      <c r="K95" s="4"/>
      <c r="L95" s="4"/>
      <c r="M95" s="4"/>
      <c r="N95" s="4"/>
      <c r="O95" s="4"/>
      <c r="P95" s="4"/>
      <c r="Q95" s="4"/>
      <c r="R95" s="4"/>
      <c r="S95" s="4"/>
      <c r="T95" s="4"/>
      <c r="U95" s="4"/>
      <c r="V95" s="4"/>
    </row>
    <row r="96" spans="1:22" ht="62.5">
      <c r="A96" s="11">
        <v>45078.083333333328</v>
      </c>
      <c r="B96" s="12" t="s">
        <v>14</v>
      </c>
      <c r="C96" s="12" t="s">
        <v>199</v>
      </c>
      <c r="D96" s="12" t="s">
        <v>200</v>
      </c>
      <c r="E96" s="13" t="str">
        <f>HYPERLINK("https://www.socialeurope.eu/cities-harnessing-innovation-for-the-circular-economy","Social Europe")</f>
        <v>Social Europe</v>
      </c>
      <c r="F96" s="14"/>
      <c r="G96" s="15"/>
      <c r="H96" s="15"/>
      <c r="I96" s="3"/>
      <c r="J96" s="4"/>
      <c r="K96" s="4"/>
      <c r="L96" s="4"/>
      <c r="M96" s="4"/>
      <c r="N96" s="4"/>
      <c r="O96" s="4"/>
      <c r="P96" s="4"/>
      <c r="Q96" s="4"/>
      <c r="R96" s="4"/>
      <c r="S96" s="4"/>
      <c r="T96" s="4"/>
      <c r="U96" s="4"/>
      <c r="V96" s="4"/>
    </row>
    <row r="97" spans="1:22" ht="50">
      <c r="A97" s="11">
        <v>45078.083333333328</v>
      </c>
      <c r="B97" s="12" t="s">
        <v>21</v>
      </c>
      <c r="C97" s="12" t="s">
        <v>201</v>
      </c>
      <c r="D97" s="12" t="s">
        <v>202</v>
      </c>
      <c r="E97" s="13" t="str">
        <f>HYPERLINK("https://biooekonomie.de/en/news/starch-based-foam-film","Bioekonomie.de")</f>
        <v>Bioekonomie.de</v>
      </c>
      <c r="F97" s="16" t="str">
        <f>HYPERLINK("https://www.sustainableplastics.com/news/foamed-films-made-starch-potential-alternatives-packaging-look-feasible","Sustainable Plastics")</f>
        <v>Sustainable Plastics</v>
      </c>
      <c r="G97" s="15"/>
      <c r="H97" s="15"/>
      <c r="I97" s="3"/>
      <c r="J97" s="4"/>
      <c r="K97" s="4"/>
      <c r="L97" s="4"/>
      <c r="M97" s="4"/>
      <c r="N97" s="4"/>
      <c r="O97" s="4"/>
      <c r="P97" s="4"/>
      <c r="Q97" s="4"/>
      <c r="R97" s="4"/>
      <c r="S97" s="4"/>
      <c r="T97" s="4"/>
      <c r="U97" s="4"/>
      <c r="V97" s="4"/>
    </row>
    <row r="98" spans="1:22" ht="62.5">
      <c r="A98" s="11">
        <v>45078.083333333328</v>
      </c>
      <c r="B98" s="12" t="s">
        <v>21</v>
      </c>
      <c r="C98" s="12" t="s">
        <v>203</v>
      </c>
      <c r="D98" s="12" t="s">
        <v>204</v>
      </c>
      <c r="E98" s="13" t="str">
        <f>HYPERLINK("https://worldbiomarketinsights.com/seafields-will-develop-stationary-aquafarms-together-with-macrocarbon/","World Biomarket Insights")</f>
        <v>World Biomarket Insights</v>
      </c>
      <c r="F98" s="14"/>
      <c r="G98" s="15"/>
      <c r="H98" s="15"/>
      <c r="I98" s="3"/>
      <c r="J98" s="4"/>
      <c r="K98" s="4"/>
      <c r="L98" s="4"/>
      <c r="M98" s="4"/>
      <c r="N98" s="4"/>
      <c r="O98" s="4"/>
      <c r="P98" s="4"/>
      <c r="Q98" s="4"/>
      <c r="R98" s="4"/>
      <c r="S98" s="4"/>
      <c r="T98" s="4"/>
      <c r="U98" s="4"/>
      <c r="V98" s="4"/>
    </row>
    <row r="99" spans="1:22" ht="75">
      <c r="A99" s="11">
        <v>45078.083333333328</v>
      </c>
      <c r="B99" s="12" t="s">
        <v>21</v>
      </c>
      <c r="C99" s="12" t="s">
        <v>205</v>
      </c>
      <c r="D99" s="12" t="s">
        <v>206</v>
      </c>
      <c r="E99" s="13" t="str">
        <f>HYPERLINK("https://www.chemeurope.com/en/news/1180544/bioeconomy-startup-traceless-receives-millions-in-funding-from-the-german-federal-ministry-for-the-environment.html","Chem Europe")</f>
        <v>Chem Europe</v>
      </c>
      <c r="F99" s="14"/>
      <c r="G99" s="15"/>
      <c r="H99" s="15"/>
      <c r="I99" s="3"/>
      <c r="J99" s="4"/>
      <c r="K99" s="4"/>
      <c r="L99" s="4"/>
      <c r="M99" s="4"/>
      <c r="N99" s="4"/>
      <c r="O99" s="4"/>
      <c r="P99" s="4"/>
      <c r="Q99" s="4"/>
      <c r="R99" s="4"/>
      <c r="S99" s="4"/>
      <c r="T99" s="4"/>
      <c r="U99" s="4"/>
      <c r="V99" s="4"/>
    </row>
    <row r="100" spans="1:22" ht="87.5">
      <c r="A100" s="11">
        <v>45078.083333333328</v>
      </c>
      <c r="B100" s="12" t="s">
        <v>24</v>
      </c>
      <c r="C100" s="12" t="s">
        <v>207</v>
      </c>
      <c r="D100" s="12" t="s">
        <v>208</v>
      </c>
      <c r="E100" s="13" t="str">
        <f>HYPERLINK("https://gouvernement.lu/fr/actualites/toutes_actualites/communiques/2023/05-mai/25-centre-ressources.html","Luxembourg government")</f>
        <v>Luxembourg government</v>
      </c>
      <c r="F100" s="16" t="str">
        <f>HYPERLINK("https://www.linkedin.com/feed/update/urn:li:activity:7067831158713004032/","LinkedIn/SIVEC")</f>
        <v>LinkedIn/SIVEC</v>
      </c>
      <c r="G100" s="15"/>
      <c r="H100" s="15"/>
      <c r="I100" s="3"/>
      <c r="J100" s="4"/>
      <c r="K100" s="4"/>
      <c r="L100" s="4"/>
      <c r="M100" s="4"/>
      <c r="N100" s="4"/>
      <c r="O100" s="4"/>
      <c r="P100" s="4"/>
      <c r="Q100" s="4"/>
      <c r="R100" s="4"/>
      <c r="S100" s="4"/>
      <c r="T100" s="4"/>
      <c r="U100" s="4"/>
      <c r="V100" s="4"/>
    </row>
    <row r="101" spans="1:22" ht="62.5">
      <c r="A101" s="11">
        <v>45078.083333333328</v>
      </c>
      <c r="B101" s="12" t="s">
        <v>24</v>
      </c>
      <c r="C101" s="12" t="s">
        <v>209</v>
      </c>
      <c r="D101" s="12" t="s">
        <v>210</v>
      </c>
      <c r="E101" s="13" t="str">
        <f>HYPERLINK("https://dam.wiltz.lu/pages/view.php?search=%21collection732&amp;k=beddf81b3a&amp;modal=&amp;display=thumbs&amp;order_by=collection&amp;offset=0&amp;per_page=48&amp;archive=&amp;sort=ASC&amp;restypes=&amp;recentdaylimit=&amp;foredit=&amp;noreload=true&amp;access=&amp;ref=12823","Dam.Wiltz")</f>
        <v>Dam.Wiltz</v>
      </c>
      <c r="F101" s="16" t="str">
        <f>HYPERLINK("https://www.infogreen.lu/extension-de-la-zone-salzbaach-economie-circulaire-et-croissance-durable.html","Info Green")</f>
        <v>Info Green</v>
      </c>
      <c r="G101" s="15"/>
      <c r="H101" s="15"/>
      <c r="I101" s="3"/>
      <c r="J101" s="4"/>
      <c r="K101" s="4"/>
      <c r="L101" s="4"/>
      <c r="M101" s="4"/>
      <c r="N101" s="4"/>
      <c r="O101" s="4"/>
      <c r="P101" s="4"/>
      <c r="Q101" s="4"/>
      <c r="R101" s="4"/>
      <c r="S101" s="4"/>
      <c r="T101" s="4"/>
      <c r="U101" s="4"/>
      <c r="V101" s="4"/>
    </row>
    <row r="102" spans="1:22" ht="62.5">
      <c r="A102" s="11">
        <v>45078.083333333328</v>
      </c>
      <c r="B102" s="12" t="s">
        <v>24</v>
      </c>
      <c r="C102" s="12" t="s">
        <v>211</v>
      </c>
      <c r="D102" s="12" t="s">
        <v>212</v>
      </c>
      <c r="E102" s="13" t="str">
        <f>HYPERLINK("https://www.eea.europa.eu/en/newsroom/news/circular-economy-target-monitoring-waste-prevention","European Environment Agency")</f>
        <v>European Environment Agency</v>
      </c>
      <c r="F102" s="14"/>
      <c r="G102" s="15"/>
      <c r="H102" s="15"/>
      <c r="I102" s="3"/>
      <c r="J102" s="4"/>
      <c r="K102" s="4"/>
      <c r="L102" s="4"/>
      <c r="M102" s="4"/>
      <c r="N102" s="4"/>
      <c r="O102" s="4"/>
      <c r="P102" s="4"/>
      <c r="Q102" s="4"/>
      <c r="R102" s="4"/>
      <c r="S102" s="4"/>
      <c r="T102" s="4"/>
      <c r="U102" s="4"/>
      <c r="V102" s="4"/>
    </row>
    <row r="103" spans="1:22" ht="87.5">
      <c r="A103" s="11">
        <v>45078.083333333328</v>
      </c>
      <c r="B103" s="12" t="s">
        <v>24</v>
      </c>
      <c r="C103" s="12" t="s">
        <v>213</v>
      </c>
      <c r="D103" s="12" t="s">
        <v>214</v>
      </c>
      <c r="E103" s="13" t="str">
        <f>HYPERLINK("https://khattabi.belgium.be/en/pr-repairindex","Khattabi.Belgium.br")</f>
        <v>Khattabi.Belgium.br</v>
      </c>
      <c r="F103" s="14"/>
      <c r="G103" s="15"/>
      <c r="H103" s="15"/>
      <c r="I103" s="3"/>
      <c r="J103" s="4"/>
      <c r="K103" s="4"/>
      <c r="L103" s="4"/>
      <c r="M103" s="4"/>
      <c r="N103" s="4"/>
      <c r="O103" s="4"/>
      <c r="P103" s="4"/>
      <c r="Q103" s="4"/>
      <c r="R103" s="4"/>
      <c r="S103" s="4"/>
      <c r="T103" s="4"/>
      <c r="U103" s="4"/>
      <c r="V103" s="4"/>
    </row>
    <row r="104" spans="1:22" ht="75">
      <c r="A104" s="11">
        <v>45078.083333333328</v>
      </c>
      <c r="B104" s="12" t="s">
        <v>29</v>
      </c>
      <c r="C104" s="12" t="s">
        <v>215</v>
      </c>
      <c r="D104" s="12" t="s">
        <v>216</v>
      </c>
      <c r="E104" s="13" t="str">
        <f>HYPERLINK("https://www.ebrd.com/news/2023/mdbs-join-forces-to-accelerate-circular-economy-transition.html","EBRD")</f>
        <v>EBRD</v>
      </c>
      <c r="F104" s="14"/>
      <c r="G104" s="15"/>
      <c r="H104" s="15"/>
      <c r="I104" s="3"/>
      <c r="J104" s="4"/>
      <c r="K104" s="4"/>
      <c r="L104" s="4"/>
      <c r="M104" s="4"/>
      <c r="N104" s="4"/>
      <c r="O104" s="4"/>
      <c r="P104" s="4"/>
      <c r="Q104" s="4"/>
      <c r="R104" s="4"/>
      <c r="S104" s="4"/>
      <c r="T104" s="4"/>
      <c r="U104" s="4"/>
      <c r="V104" s="4"/>
    </row>
    <row r="105" spans="1:22" ht="112.5">
      <c r="A105" s="11">
        <v>45078.083333333328</v>
      </c>
      <c r="B105" s="12" t="s">
        <v>29</v>
      </c>
      <c r="C105" s="12" t="s">
        <v>217</v>
      </c>
      <c r="D105" s="12" t="s">
        <v>218</v>
      </c>
      <c r="E105" s="13" t="str">
        <f>HYPERLINK("https://www.investmentweek.co.uk/news/4116845/rize-etf-launches-circular-economy-enablers-etf","Investment Week")</f>
        <v>Investment Week</v>
      </c>
      <c r="F105" s="16" t="str">
        <f>HYPERLINK("https://rizeetf.com/funds/circular-economy-enablers/","RizeETF.com")</f>
        <v>RizeETF.com</v>
      </c>
      <c r="G105" s="17" t="str">
        <f>HYPERLINK("https://ec.europa.eu/commission/presscorner/detail/en/ip_23_3192","European Commission")</f>
        <v>European Commission</v>
      </c>
      <c r="H105" s="15"/>
      <c r="I105" s="3"/>
      <c r="J105" s="4"/>
      <c r="K105" s="4"/>
      <c r="L105" s="4"/>
      <c r="M105" s="4"/>
      <c r="N105" s="4"/>
      <c r="O105" s="4"/>
      <c r="P105" s="4"/>
      <c r="Q105" s="4"/>
      <c r="R105" s="4"/>
      <c r="S105" s="4"/>
      <c r="T105" s="4"/>
      <c r="U105" s="4"/>
      <c r="V105" s="4"/>
    </row>
    <row r="106" spans="1:22" ht="87.5">
      <c r="A106" s="11">
        <v>45078.083333333328</v>
      </c>
      <c r="B106" s="12" t="s">
        <v>29</v>
      </c>
      <c r="C106" s="12" t="s">
        <v>219</v>
      </c>
      <c r="D106" s="12" t="s">
        <v>220</v>
      </c>
      <c r="E106" s="13" t="str">
        <f>HYPERLINK("https://www.bdo.co.uk/en-gb/insights/advisory/mergers-and-acquisitions/circular-economy-series","BDO")</f>
        <v>BDO</v>
      </c>
      <c r="F106" s="16" t="str">
        <f>HYPERLINK("https://www.zawya.com/en/world/uk-and-europe/european-investment-bank-lends-over-3bln-to-circular-economy-projects-nlpf4s6d","Zawya")</f>
        <v>Zawya</v>
      </c>
      <c r="G106" s="15"/>
      <c r="H106" s="15"/>
      <c r="I106" s="3"/>
      <c r="J106" s="4"/>
      <c r="K106" s="4"/>
      <c r="L106" s="4"/>
      <c r="M106" s="4"/>
      <c r="N106" s="4"/>
      <c r="O106" s="4"/>
      <c r="P106" s="4"/>
      <c r="Q106" s="4"/>
      <c r="R106" s="4"/>
      <c r="S106" s="4"/>
      <c r="T106" s="4"/>
      <c r="U106" s="4"/>
      <c r="V106" s="4"/>
    </row>
    <row r="107" spans="1:22" ht="62.5">
      <c r="A107" s="11">
        <v>45078.083333333328</v>
      </c>
      <c r="B107" s="12" t="s">
        <v>32</v>
      </c>
      <c r="C107" s="12" t="s">
        <v>221</v>
      </c>
      <c r="D107" s="12" t="s">
        <v>222</v>
      </c>
      <c r="E107" s="13" t="str">
        <f>HYPERLINK("https://gouvernement.lu/en/actualites/toutes_actualites/communiques/2023/05-mai/17-fayot-delles-circular-by-design.html","Luxembourg government ")</f>
        <v xml:space="preserve">Luxembourg government </v>
      </c>
      <c r="F107" s="16" t="str">
        <f>HYPERLINK("https://events.luxinnovation.lu/circular-by-design-challenge-awards-ceremony-2023/content/projects-teams","Luxinnovation")</f>
        <v>Luxinnovation</v>
      </c>
      <c r="G107" s="15"/>
      <c r="H107" s="15"/>
      <c r="I107" s="3"/>
      <c r="J107" s="4"/>
      <c r="K107" s="4"/>
      <c r="L107" s="4"/>
      <c r="M107" s="4"/>
      <c r="N107" s="4"/>
      <c r="O107" s="4"/>
      <c r="P107" s="4"/>
      <c r="Q107" s="4"/>
      <c r="R107" s="4"/>
      <c r="S107" s="4"/>
      <c r="T107" s="4"/>
      <c r="U107" s="4"/>
      <c r="V107" s="4"/>
    </row>
    <row r="108" spans="1:22" ht="62.5">
      <c r="A108" s="11">
        <v>45078.083333333328</v>
      </c>
      <c r="B108" s="12" t="s">
        <v>32</v>
      </c>
      <c r="C108" s="12" t="s">
        <v>223</v>
      </c>
      <c r="D108" s="12" t="s">
        <v>224</v>
      </c>
      <c r="E108" s="13" t="str">
        <f>HYPERLINK("https://www.luxinnovation.lu/event/smart-manufacturing-week/","Luxinnovation")</f>
        <v>Luxinnovation</v>
      </c>
      <c r="F108" s="14"/>
      <c r="G108" s="15"/>
      <c r="H108" s="15"/>
      <c r="I108" s="3"/>
      <c r="J108" s="4"/>
      <c r="K108" s="4"/>
      <c r="L108" s="4"/>
      <c r="M108" s="4"/>
      <c r="N108" s="4"/>
      <c r="O108" s="4"/>
      <c r="P108" s="4"/>
      <c r="Q108" s="4"/>
      <c r="R108" s="4"/>
      <c r="S108" s="4"/>
      <c r="T108" s="4"/>
      <c r="U108" s="4"/>
      <c r="V108" s="4"/>
    </row>
    <row r="109" spans="1:22" ht="50">
      <c r="A109" s="11">
        <v>45078.083333333328</v>
      </c>
      <c r="B109" s="12" t="s">
        <v>32</v>
      </c>
      <c r="C109" s="12" t="s">
        <v>225</v>
      </c>
      <c r="D109" s="12" t="s">
        <v>226</v>
      </c>
      <c r="E109" s="13" t="str">
        <f>HYPERLINK("https://www.edie.net/registration-now-open-for-edies-online-circular-economy-events/","Edie.net")</f>
        <v>Edie.net</v>
      </c>
      <c r="F109" s="16" t="str">
        <f>HYPERLINK("https://www.linkedin.com/feed/update/urn:li:activity:7059109656111001600/","LinkedIn/Circle Economy")</f>
        <v>LinkedIn/Circle Economy</v>
      </c>
      <c r="G109" s="15"/>
      <c r="H109" s="15"/>
      <c r="I109" s="3"/>
      <c r="J109" s="4"/>
      <c r="K109" s="4"/>
      <c r="L109" s="4"/>
      <c r="M109" s="4"/>
      <c r="N109" s="4"/>
      <c r="O109" s="4"/>
      <c r="P109" s="4"/>
      <c r="Q109" s="4"/>
      <c r="R109" s="4"/>
      <c r="S109" s="4"/>
      <c r="T109" s="4"/>
      <c r="U109" s="4"/>
      <c r="V109" s="4"/>
    </row>
    <row r="110" spans="1:22" ht="62.5">
      <c r="A110" s="11">
        <v>45047.083333333328</v>
      </c>
      <c r="B110" s="12" t="s">
        <v>5</v>
      </c>
      <c r="C110" s="12" t="s">
        <v>227</v>
      </c>
      <c r="D110" s="12" t="s">
        <v>228</v>
      </c>
      <c r="E110" s="13" t="str">
        <f>HYPERLINK("https://meco.gouvernement.lu/fr/actualites.gouvernement%2Bfr%2Bactualites%2Btoutes_actualites%2Barticles%2B2023%2B04-avril%2B26-meco-appel-projects-sharing-economy.html","Luxembourg Ministry of Economy")</f>
        <v>Luxembourg Ministry of Economy</v>
      </c>
      <c r="F110" s="16" t="str">
        <f>HYPERLINK("https://guttgeschier.myturn.com/library/","Gutt Geschier (myturn.com)")</f>
        <v>Gutt Geschier (myturn.com)</v>
      </c>
      <c r="G110" s="15"/>
      <c r="H110" s="15"/>
      <c r="I110" s="3"/>
      <c r="J110" s="4"/>
      <c r="K110" s="4"/>
      <c r="L110" s="4"/>
      <c r="M110" s="4"/>
      <c r="N110" s="4"/>
      <c r="O110" s="4"/>
      <c r="P110" s="4"/>
      <c r="Q110" s="4"/>
      <c r="R110" s="4"/>
      <c r="S110" s="4"/>
      <c r="T110" s="4"/>
      <c r="U110" s="4"/>
      <c r="V110" s="4"/>
    </row>
    <row r="111" spans="1:22" ht="62.5">
      <c r="A111" s="11">
        <v>45047.083333333328</v>
      </c>
      <c r="B111" s="12" t="s">
        <v>5</v>
      </c>
      <c r="C111" s="12" t="s">
        <v>229</v>
      </c>
      <c r="D111" s="12" t="s">
        <v>230</v>
      </c>
      <c r="E111" s="13" t="str">
        <f>HYPERLINK("https://www.sciencedirect.com/science/article/pii/S095965262301185X","Science Direct")</f>
        <v>Science Direct</v>
      </c>
      <c r="F111" s="14"/>
      <c r="G111" s="15"/>
      <c r="H111" s="15"/>
      <c r="I111" s="3"/>
      <c r="J111" s="4"/>
      <c r="K111" s="4"/>
      <c r="L111" s="4"/>
      <c r="M111" s="4"/>
      <c r="N111" s="4"/>
      <c r="O111" s="4"/>
      <c r="P111" s="4"/>
      <c r="Q111" s="4"/>
      <c r="R111" s="4"/>
      <c r="S111" s="4"/>
      <c r="T111" s="4"/>
      <c r="U111" s="4"/>
      <c r="V111" s="4"/>
    </row>
    <row r="112" spans="1:22" ht="75">
      <c r="A112" s="11">
        <v>45047.083333333328</v>
      </c>
      <c r="B112" s="12" t="s">
        <v>14</v>
      </c>
      <c r="C112" s="12" t="s">
        <v>231</v>
      </c>
      <c r="D112" s="12" t="s">
        <v>232</v>
      </c>
      <c r="E112" s="13" t="str">
        <f>HYPERLINK("https://www.mckinsey.com/capabilities/sustainability/our-insights/sustainability-blog/how-ai-can-unlock-a-127b-opportunity-by-reducing-food-waste","McKinsey")</f>
        <v>McKinsey</v>
      </c>
      <c r="F112" s="14"/>
      <c r="G112" s="15"/>
      <c r="H112" s="15"/>
      <c r="I112" s="3"/>
      <c r="J112" s="4"/>
      <c r="K112" s="4"/>
      <c r="L112" s="4"/>
      <c r="M112" s="4"/>
      <c r="N112" s="4"/>
      <c r="O112" s="4"/>
      <c r="P112" s="4"/>
      <c r="Q112" s="4"/>
      <c r="R112" s="4"/>
      <c r="S112" s="4"/>
      <c r="T112" s="4"/>
      <c r="U112" s="4"/>
      <c r="V112" s="4"/>
    </row>
    <row r="113" spans="1:22" ht="62.5">
      <c r="A113" s="11">
        <v>45047.083333333328</v>
      </c>
      <c r="B113" s="12" t="s">
        <v>14</v>
      </c>
      <c r="C113" s="12" t="s">
        <v>233</v>
      </c>
      <c r="D113" s="12" t="s">
        <v>234</v>
      </c>
      <c r="E113" s="13" t="str">
        <f>HYPERLINK("https://www.press.bmwgroup.com/global/article/detail/T0413318EN/from-scrap-to-raw-material:-state-supported-car2car-project-develops-technologies-to-improve-recycling-of-end-of-life-vehicles?language=en","BMW")</f>
        <v>BMW</v>
      </c>
      <c r="F113" s="14"/>
      <c r="G113" s="15"/>
      <c r="H113" s="15"/>
      <c r="I113" s="3"/>
      <c r="J113" s="4"/>
      <c r="K113" s="4"/>
      <c r="L113" s="4"/>
      <c r="M113" s="4"/>
      <c r="N113" s="4"/>
      <c r="O113" s="4"/>
      <c r="P113" s="4"/>
      <c r="Q113" s="4"/>
      <c r="R113" s="4"/>
      <c r="S113" s="4"/>
      <c r="T113" s="4"/>
      <c r="U113" s="4"/>
      <c r="V113" s="4"/>
    </row>
    <row r="114" spans="1:22" ht="62.5">
      <c r="A114" s="11">
        <v>45047.083333333328</v>
      </c>
      <c r="B114" s="12" t="s">
        <v>14</v>
      </c>
      <c r="C114" s="12" t="s">
        <v>235</v>
      </c>
      <c r="D114" s="12" t="s">
        <v>236</v>
      </c>
      <c r="E114" s="13" t="str">
        <f>HYPERLINK("https://www.eu-startups.com/2023/04/frankfurt-based-tvarit-raises-e5-million-to-cut-manufacturing-waste/","EU Start-Ups")</f>
        <v>EU Start-Ups</v>
      </c>
      <c r="F114" s="14"/>
      <c r="G114" s="15"/>
      <c r="H114" s="15"/>
      <c r="I114" s="3"/>
      <c r="J114" s="4"/>
      <c r="K114" s="4"/>
      <c r="L114" s="4"/>
      <c r="M114" s="4"/>
      <c r="N114" s="4"/>
      <c r="O114" s="4"/>
      <c r="P114" s="4"/>
      <c r="Q114" s="4"/>
      <c r="R114" s="4"/>
      <c r="S114" s="4"/>
      <c r="T114" s="4"/>
      <c r="U114" s="4"/>
      <c r="V114" s="4"/>
    </row>
    <row r="115" spans="1:22" ht="62.5">
      <c r="A115" s="11">
        <v>45047.083333333328</v>
      </c>
      <c r="B115" s="12" t="s">
        <v>21</v>
      </c>
      <c r="C115" s="12" t="s">
        <v>237</v>
      </c>
      <c r="D115" s="12" t="s">
        <v>238</v>
      </c>
      <c r="E115" s="13" t="str">
        <f>HYPERLINK("https://www.openaccessgovernment.org/e215-5-million-europes-circular-bio-based-economy-growth-cbu-ju/158207/","Open Access Government")</f>
        <v>Open Access Government</v>
      </c>
      <c r="F115" s="14"/>
      <c r="G115" s="15"/>
      <c r="H115" s="15"/>
      <c r="I115" s="3"/>
      <c r="J115" s="4"/>
      <c r="K115" s="4"/>
      <c r="L115" s="4"/>
      <c r="M115" s="4"/>
      <c r="N115" s="4"/>
      <c r="O115" s="4"/>
      <c r="P115" s="4"/>
      <c r="Q115" s="4"/>
      <c r="R115" s="4"/>
      <c r="S115" s="4"/>
      <c r="T115" s="4"/>
      <c r="U115" s="4"/>
      <c r="V115" s="4"/>
    </row>
    <row r="116" spans="1:22" ht="62.5">
      <c r="A116" s="11">
        <v>45047.083333333328</v>
      </c>
      <c r="B116" s="12" t="s">
        <v>21</v>
      </c>
      <c r="C116" s="12" t="s">
        <v>239</v>
      </c>
      <c r="D116" s="12" t="s">
        <v>240</v>
      </c>
      <c r="E116" s="13" t="str">
        <f>HYPERLINK("https://www.hamburg-news.hamburg/en/location/biochar-becoming-catalyst-circular-economy","Hamburg News")</f>
        <v>Hamburg News</v>
      </c>
      <c r="F116" s="16" t="str">
        <f>HYPERLINK("https://circular-carbon.com/en/plant-construction/","Circular Carbon")</f>
        <v>Circular Carbon</v>
      </c>
      <c r="G116" s="15"/>
      <c r="H116" s="15"/>
      <c r="I116" s="3"/>
      <c r="J116" s="4"/>
      <c r="K116" s="4"/>
      <c r="L116" s="4"/>
      <c r="M116" s="4"/>
      <c r="N116" s="4"/>
      <c r="O116" s="4"/>
      <c r="P116" s="4"/>
      <c r="Q116" s="4"/>
      <c r="R116" s="4"/>
      <c r="S116" s="4"/>
      <c r="T116" s="4"/>
      <c r="U116" s="4"/>
      <c r="V116" s="4"/>
    </row>
    <row r="117" spans="1:22" ht="62.5">
      <c r="A117" s="11">
        <v>45047.083333333328</v>
      </c>
      <c r="B117" s="12" t="s">
        <v>24</v>
      </c>
      <c r="C117" s="12" t="s">
        <v>241</v>
      </c>
      <c r="D117" s="12" t="s">
        <v>242</v>
      </c>
      <c r="E117" s="13" t="str">
        <f>HYPERLINK("https://www.osborneclarke.com/insights/royal-decree-takes-spain-step-further-towards-circular-economy#:~:text=As%20part%20of%20this%20drive,and%20aligned%20with%20the%20objectives","Osborne Clarke")</f>
        <v>Osborne Clarke</v>
      </c>
      <c r="F117" s="14"/>
      <c r="G117" s="15"/>
      <c r="H117" s="15"/>
      <c r="I117" s="3"/>
      <c r="J117" s="4"/>
      <c r="K117" s="4"/>
      <c r="L117" s="4"/>
      <c r="M117" s="4"/>
      <c r="N117" s="4"/>
      <c r="O117" s="4"/>
      <c r="P117" s="4"/>
      <c r="Q117" s="4"/>
      <c r="R117" s="4"/>
      <c r="S117" s="4"/>
      <c r="T117" s="4"/>
      <c r="U117" s="4"/>
      <c r="V117" s="4"/>
    </row>
    <row r="118" spans="1:22" ht="75">
      <c r="A118" s="11">
        <v>45047.083333333328</v>
      </c>
      <c r="B118" s="12" t="s">
        <v>24</v>
      </c>
      <c r="C118" s="12" t="s">
        <v>243</v>
      </c>
      <c r="D118" s="12" t="s">
        <v>244</v>
      </c>
      <c r="E118" s="13" t="str">
        <f>HYPERLINK("https://www.euractiv.com/section/circular-economy/news/parliament-split-over-how-to-tackle-eus-packaging-waste-problem/","Euractiv")</f>
        <v>Euractiv</v>
      </c>
      <c r="F118" s="14"/>
      <c r="G118" s="15"/>
      <c r="H118" s="15"/>
      <c r="I118" s="3"/>
      <c r="J118" s="4"/>
      <c r="K118" s="4"/>
      <c r="L118" s="4"/>
      <c r="M118" s="4"/>
      <c r="N118" s="4"/>
      <c r="O118" s="4"/>
      <c r="P118" s="4"/>
      <c r="Q118" s="4"/>
      <c r="R118" s="4"/>
      <c r="S118" s="4"/>
      <c r="T118" s="4"/>
      <c r="U118" s="4"/>
      <c r="V118" s="4"/>
    </row>
    <row r="119" spans="1:22" ht="75">
      <c r="A119" s="11">
        <v>45047.083333333328</v>
      </c>
      <c r="B119" s="12" t="s">
        <v>24</v>
      </c>
      <c r="C119" s="12" t="s">
        <v>245</v>
      </c>
      <c r="D119" s="12" t="s">
        <v>246</v>
      </c>
      <c r="E119" s="13" t="str">
        <f>HYPERLINK("https://www.consilium.europa.eu/en/press/press-releases/2023/05/03/empowering-consumers-for-the-green-transition-council-adopts-its-position/","EU Council")</f>
        <v>EU Council</v>
      </c>
      <c r="F119" s="14"/>
      <c r="G119" s="15"/>
      <c r="H119" s="15"/>
      <c r="I119" s="3"/>
      <c r="J119" s="4"/>
      <c r="K119" s="4"/>
      <c r="L119" s="4"/>
      <c r="M119" s="4"/>
      <c r="N119" s="4"/>
      <c r="O119" s="4"/>
      <c r="P119" s="4"/>
      <c r="Q119" s="4"/>
      <c r="R119" s="4"/>
      <c r="S119" s="4"/>
      <c r="T119" s="4"/>
      <c r="U119" s="4"/>
      <c r="V119" s="4"/>
    </row>
    <row r="120" spans="1:22" ht="62.5">
      <c r="A120" s="11">
        <v>45047.083333333328</v>
      </c>
      <c r="B120" s="12" t="s">
        <v>29</v>
      </c>
      <c r="C120" s="12" t="s">
        <v>247</v>
      </c>
      <c r="D120" s="12" t="s">
        <v>248</v>
      </c>
      <c r="E120" s="13" t="str">
        <f>HYPERLINK("https://www.health.belgium.be/fr/second-appel-projets-bbbc","Health Belgium")</f>
        <v>Health Belgium</v>
      </c>
      <c r="F120" s="14"/>
      <c r="G120" s="15"/>
      <c r="H120" s="15"/>
      <c r="I120" s="3"/>
      <c r="J120" s="4"/>
      <c r="K120" s="4"/>
      <c r="L120" s="4"/>
      <c r="M120" s="4"/>
      <c r="N120" s="4"/>
      <c r="O120" s="4"/>
      <c r="P120" s="4"/>
      <c r="Q120" s="4"/>
      <c r="R120" s="4"/>
      <c r="S120" s="4"/>
      <c r="T120" s="4"/>
      <c r="U120" s="4"/>
      <c r="V120" s="4"/>
    </row>
    <row r="121" spans="1:22" ht="62.5">
      <c r="A121" s="11">
        <v>45047.083333333328</v>
      </c>
      <c r="B121" s="12" t="s">
        <v>29</v>
      </c>
      <c r="C121" s="12" t="s">
        <v>249</v>
      </c>
      <c r="D121" s="12" t="s">
        <v>250</v>
      </c>
      <c r="E121" s="13" t="str">
        <f>HYPERLINK("https://tech.eu/2023/04/05/eenons-raises-10-million-to-orchestrate-a-circular-economy-via-its-waste-platform/","Tech EU")</f>
        <v>Tech EU</v>
      </c>
      <c r="F121" s="14"/>
      <c r="G121" s="15"/>
      <c r="H121" s="15"/>
      <c r="I121" s="3"/>
      <c r="J121" s="4"/>
      <c r="K121" s="4"/>
      <c r="L121" s="4"/>
      <c r="M121" s="4"/>
      <c r="N121" s="4"/>
      <c r="O121" s="4"/>
      <c r="P121" s="4"/>
      <c r="Q121" s="4"/>
      <c r="R121" s="4"/>
      <c r="S121" s="4"/>
      <c r="T121" s="4"/>
      <c r="U121" s="4"/>
      <c r="V121" s="4"/>
    </row>
    <row r="122" spans="1:22" ht="50">
      <c r="A122" s="11">
        <v>45047.083333333328</v>
      </c>
      <c r="B122" s="12" t="s">
        <v>29</v>
      </c>
      <c r="C122" s="12" t="s">
        <v>251</v>
      </c>
      <c r="D122" s="12" t="s">
        <v>252</v>
      </c>
      <c r="E122" s="13" t="str">
        <f>HYPERLINK("https://www.unepfi.org/industries/banking/guidance-on-resource-efficiency-and-circular-economy-target-setting-version-2/","UNEPFI")</f>
        <v>UNEPFI</v>
      </c>
      <c r="F122" s="14"/>
      <c r="G122" s="15"/>
      <c r="H122" s="15"/>
      <c r="I122" s="3"/>
      <c r="J122" s="4"/>
      <c r="K122" s="4"/>
      <c r="L122" s="4"/>
      <c r="M122" s="4"/>
      <c r="N122" s="4"/>
      <c r="O122" s="4"/>
      <c r="P122" s="4"/>
      <c r="Q122" s="4"/>
      <c r="R122" s="4"/>
      <c r="S122" s="4"/>
      <c r="T122" s="4"/>
      <c r="U122" s="4"/>
      <c r="V122" s="4"/>
    </row>
    <row r="123" spans="1:22" ht="50">
      <c r="A123" s="11">
        <v>45047.083333333328</v>
      </c>
      <c r="B123" s="12" t="s">
        <v>32</v>
      </c>
      <c r="C123" s="12" t="s">
        <v>253</v>
      </c>
      <c r="D123" s="12" t="s">
        <v>254</v>
      </c>
      <c r="E123" s="13" t="str">
        <f>HYPERLINK("https://www.grandpariscirculaire.org/articles/h/premiere-journee-economie-circulaire-dans-les-travaux-publics.html","Grand Paris Circulaire")</f>
        <v>Grand Paris Circulaire</v>
      </c>
      <c r="F123" s="14"/>
      <c r="G123" s="15"/>
      <c r="H123" s="15"/>
      <c r="I123" s="3"/>
      <c r="J123" s="4"/>
      <c r="K123" s="4"/>
      <c r="L123" s="4"/>
      <c r="M123" s="4"/>
      <c r="N123" s="4"/>
      <c r="O123" s="4"/>
      <c r="P123" s="4"/>
      <c r="Q123" s="4"/>
      <c r="R123" s="4"/>
      <c r="S123" s="4"/>
      <c r="T123" s="4"/>
      <c r="U123" s="4"/>
      <c r="V123" s="4"/>
    </row>
    <row r="124" spans="1:22" ht="62.5">
      <c r="A124" s="11">
        <v>45047.083333333328</v>
      </c>
      <c r="B124" s="12" t="s">
        <v>32</v>
      </c>
      <c r="C124" s="12" t="s">
        <v>255</v>
      </c>
      <c r="D124" s="12" t="s">
        <v>256</v>
      </c>
      <c r="E124" s="13" t="str">
        <f>HYPERLINK("https://www.zerowastescotland.org.uk/resources/circular-economy-business-support","Zero Waste Scotland")</f>
        <v>Zero Waste Scotland</v>
      </c>
      <c r="F124" s="14"/>
      <c r="G124" s="15"/>
      <c r="H124" s="15"/>
      <c r="I124" s="3"/>
      <c r="J124" s="4"/>
      <c r="K124" s="4"/>
      <c r="L124" s="4"/>
      <c r="M124" s="4"/>
      <c r="N124" s="4"/>
      <c r="O124" s="4"/>
      <c r="P124" s="4"/>
      <c r="Q124" s="4"/>
      <c r="R124" s="4"/>
      <c r="S124" s="4"/>
      <c r="T124" s="4"/>
      <c r="U124" s="4"/>
      <c r="V124" s="4"/>
    </row>
    <row r="125" spans="1:22" ht="75">
      <c r="A125" s="11">
        <v>45047.083333333328</v>
      </c>
      <c r="B125" s="12" t="s">
        <v>32</v>
      </c>
      <c r="C125" s="12" t="s">
        <v>257</v>
      </c>
      <c r="D125" s="12" t="s">
        <v>258</v>
      </c>
      <c r="E125" s="13" t="str">
        <f>HYPERLINK("https://www.creativebrief.com/bite/ipa-survey-reveals-circular-economy-set-grow-amidst-cost-living-crunch","Creative Brief")</f>
        <v>Creative Brief</v>
      </c>
      <c r="F125" s="14"/>
      <c r="G125" s="15"/>
      <c r="H125" s="15"/>
      <c r="I125" s="3"/>
      <c r="J125" s="4"/>
      <c r="K125" s="4"/>
      <c r="L125" s="4"/>
      <c r="M125" s="4"/>
      <c r="N125" s="4"/>
      <c r="O125" s="4"/>
      <c r="P125" s="4"/>
      <c r="Q125" s="4"/>
      <c r="R125" s="4"/>
      <c r="S125" s="4"/>
      <c r="T125" s="4"/>
      <c r="U125" s="4"/>
      <c r="V125" s="4"/>
    </row>
    <row r="126" spans="1:22" ht="75">
      <c r="A126" s="11">
        <v>45017.083333333328</v>
      </c>
      <c r="B126" s="12" t="s">
        <v>5</v>
      </c>
      <c r="C126" s="12" t="s">
        <v>259</v>
      </c>
      <c r="D126" s="12" t="s">
        <v>260</v>
      </c>
      <c r="E126" s="13" t="str">
        <f>HYPERLINK("https://www.infogreen.lu/re-use-la-1re-plateforme-digitale-luxembourgeoise-dediee-au-reemploi-de.html#dossier-du-mois/article-20623","Info Green")</f>
        <v>Info Green</v>
      </c>
      <c r="F126" s="16" t="str">
        <f>HYPERLINK("https://reuse.bim-y.com","BIM-Y")</f>
        <v>BIM-Y</v>
      </c>
      <c r="G126" s="17" t="str">
        <f>HYPERLINK("https://www.infogreen.lu/une-histoire-sans-fin-20371.html?var_mode=calcul#dossier-du-mois","Info Green")</f>
        <v>Info Green</v>
      </c>
      <c r="H126" s="15"/>
      <c r="I126" s="3"/>
      <c r="J126" s="4"/>
      <c r="K126" s="4"/>
      <c r="L126" s="4"/>
      <c r="M126" s="4"/>
      <c r="N126" s="4"/>
      <c r="O126" s="4"/>
      <c r="P126" s="4"/>
      <c r="Q126" s="4"/>
      <c r="R126" s="4"/>
      <c r="S126" s="4"/>
      <c r="T126" s="4"/>
      <c r="U126" s="4"/>
      <c r="V126" s="4"/>
    </row>
    <row r="127" spans="1:22" ht="62.5">
      <c r="A127" s="11">
        <v>45017.083333333328</v>
      </c>
      <c r="B127" s="12" t="s">
        <v>5</v>
      </c>
      <c r="C127" s="12" t="s">
        <v>261</v>
      </c>
      <c r="D127" s="12" t="s">
        <v>262</v>
      </c>
      <c r="E127" s="13" t="str">
        <f>HYPERLINK("https://www.weforum.org/agenda/2023/03/8-ways-the-circular-economy-outperforms-traditional-business-models/","World Economic Forum")</f>
        <v>World Economic Forum</v>
      </c>
      <c r="F127" s="14"/>
      <c r="G127" s="15"/>
      <c r="H127" s="15"/>
      <c r="I127" s="3"/>
      <c r="J127" s="4"/>
      <c r="K127" s="4"/>
      <c r="L127" s="4"/>
      <c r="M127" s="4"/>
      <c r="N127" s="4"/>
      <c r="O127" s="4"/>
      <c r="P127" s="4"/>
      <c r="Q127" s="4"/>
      <c r="R127" s="4"/>
      <c r="S127" s="4"/>
      <c r="T127" s="4"/>
      <c r="U127" s="4"/>
      <c r="V127" s="4"/>
    </row>
    <row r="128" spans="1:22" ht="75">
      <c r="A128" s="11">
        <v>45017.083333333328</v>
      </c>
      <c r="B128" s="12" t="s">
        <v>14</v>
      </c>
      <c r="C128" s="12" t="s">
        <v>263</v>
      </c>
      <c r="D128" s="12" t="s">
        <v>264</v>
      </c>
      <c r="E128" s="13" t="str">
        <f>HYPERLINK("https://circular-valley.org/news_demoday_batch4_28032023","Circular Valley")</f>
        <v>Circular Valley</v>
      </c>
      <c r="F128" s="14"/>
      <c r="G128" s="15"/>
      <c r="H128" s="15"/>
      <c r="I128" s="3"/>
      <c r="J128" s="4"/>
      <c r="K128" s="4"/>
      <c r="L128" s="4"/>
      <c r="M128" s="4"/>
      <c r="N128" s="4"/>
      <c r="O128" s="4"/>
      <c r="P128" s="4"/>
      <c r="Q128" s="4"/>
      <c r="R128" s="4"/>
      <c r="S128" s="4"/>
      <c r="T128" s="4"/>
      <c r="U128" s="4"/>
      <c r="V128" s="4"/>
    </row>
    <row r="129" spans="1:22" ht="62.5">
      <c r="A129" s="11">
        <v>45017.083333333328</v>
      </c>
      <c r="B129" s="12" t="s">
        <v>14</v>
      </c>
      <c r="C129" s="12" t="s">
        <v>265</v>
      </c>
      <c r="D129" s="12" t="s">
        <v>266</v>
      </c>
      <c r="E129" s="13" t="str">
        <f>HYPERLINK("https://blockzeit.com/important-role-of-blockchain-technology-in-a-circular-economy/","Blockzeit")</f>
        <v>Blockzeit</v>
      </c>
      <c r="F129" s="16" t="str">
        <f>HYPERLINK("https://cointelegraph.com/magazine/green-consumers-want-supply-chain-transparency-blockchain/","Coin Telegraph")</f>
        <v>Coin Telegraph</v>
      </c>
      <c r="G129" s="15"/>
      <c r="H129" s="15"/>
      <c r="I129" s="3"/>
      <c r="J129" s="4"/>
      <c r="K129" s="4"/>
      <c r="L129" s="4"/>
      <c r="M129" s="4"/>
      <c r="N129" s="4"/>
      <c r="O129" s="4"/>
      <c r="P129" s="4"/>
      <c r="Q129" s="4"/>
      <c r="R129" s="4"/>
      <c r="S129" s="4"/>
      <c r="T129" s="4"/>
      <c r="U129" s="4"/>
      <c r="V129" s="4"/>
    </row>
    <row r="130" spans="1:22" ht="75">
      <c r="A130" s="11">
        <v>45017.083333333328</v>
      </c>
      <c r="B130" s="12" t="s">
        <v>21</v>
      </c>
      <c r="C130" s="12" t="s">
        <v>267</v>
      </c>
      <c r="D130" s="12" t="s">
        <v>268</v>
      </c>
      <c r="E130" s="13" t="str">
        <f>HYPERLINK("https://www.infogreen.lu/la-plateforme-digitale-du-bois-local.html#dossier-du-mois/article-20672","Info Green")</f>
        <v>Info Green</v>
      </c>
      <c r="F130" s="14"/>
      <c r="G130" s="15"/>
      <c r="H130" s="15"/>
      <c r="I130" s="3"/>
      <c r="J130" s="4"/>
      <c r="K130" s="4"/>
      <c r="L130" s="4"/>
      <c r="M130" s="4"/>
      <c r="N130" s="4"/>
      <c r="O130" s="4"/>
      <c r="P130" s="4"/>
      <c r="Q130" s="4"/>
      <c r="R130" s="4"/>
      <c r="S130" s="4"/>
      <c r="T130" s="4"/>
      <c r="U130" s="4"/>
      <c r="V130" s="4"/>
    </row>
    <row r="131" spans="1:22" ht="62.5">
      <c r="A131" s="11">
        <v>45017.083333333328</v>
      </c>
      <c r="B131" s="12" t="s">
        <v>21</v>
      </c>
      <c r="C131" s="12" t="s">
        <v>269</v>
      </c>
      <c r="D131" s="12" t="s">
        <v>270</v>
      </c>
      <c r="E131" s="13" t="str">
        <f>HYPERLINK("https://www.linkedin.com/posts/business-partnership-facility-luxembourg_luxaid-bpfluxembourg-luxembourgcooperation-activity-7044313002400960512-m2wA/?utm_source=share&amp;utm_medium=member_desktop","LinkedIn")</f>
        <v>LinkedIn</v>
      </c>
      <c r="F131" s="16" t="str">
        <f>HYPERLINK("https://www.infogreen.lu/upcycling-des-coques-de-cacao-au-ghana.html","Info Green")</f>
        <v>Info Green</v>
      </c>
      <c r="G131" s="15"/>
      <c r="H131" s="15"/>
      <c r="I131" s="3"/>
      <c r="J131" s="4"/>
      <c r="K131" s="4"/>
      <c r="L131" s="4"/>
      <c r="M131" s="4"/>
      <c r="N131" s="4"/>
      <c r="O131" s="4"/>
      <c r="P131" s="4"/>
      <c r="Q131" s="4"/>
      <c r="R131" s="4"/>
      <c r="S131" s="4"/>
      <c r="T131" s="4"/>
      <c r="U131" s="4"/>
      <c r="V131" s="4"/>
    </row>
    <row r="132" spans="1:22" ht="75">
      <c r="A132" s="11">
        <v>45017.083333333328</v>
      </c>
      <c r="B132" s="12" t="s">
        <v>24</v>
      </c>
      <c r="C132" s="12" t="s">
        <v>271</v>
      </c>
      <c r="D132" s="12" t="s">
        <v>272</v>
      </c>
      <c r="E132" s="13" t="str">
        <f>HYPERLINK("https://www.sciencedirect.com/science/article/pii/S0921800922002683","Science Direct ")</f>
        <v xml:space="preserve">Science Direct </v>
      </c>
      <c r="F132" s="16" t="str">
        <f>HYPERLINK("https://www.linkedin.com/feed/update/urn:li:activity:7040296124041031680/","LinkedIn")</f>
        <v>LinkedIn</v>
      </c>
      <c r="G132" s="15"/>
      <c r="H132" s="15"/>
      <c r="I132" s="3"/>
      <c r="J132" s="4"/>
      <c r="K132" s="4"/>
      <c r="L132" s="4"/>
      <c r="M132" s="4"/>
      <c r="N132" s="4"/>
      <c r="O132" s="4"/>
      <c r="P132" s="4"/>
      <c r="Q132" s="4"/>
      <c r="R132" s="4"/>
      <c r="S132" s="4"/>
      <c r="T132" s="4"/>
      <c r="U132" s="4"/>
      <c r="V132" s="4"/>
    </row>
    <row r="133" spans="1:22" ht="62.5">
      <c r="A133" s="11">
        <v>45017.083333333328</v>
      </c>
      <c r="B133" s="12" t="s">
        <v>24</v>
      </c>
      <c r="C133" s="12" t="s">
        <v>273</v>
      </c>
      <c r="D133" s="12" t="s">
        <v>274</v>
      </c>
      <c r="E133" s="13" t="str">
        <f>HYPERLINK("https://recyclinginternational.com/business/lack-of-will-hampering-eu-waste-legislation/52578/","Recycling International")</f>
        <v>Recycling International</v>
      </c>
      <c r="F133" s="14"/>
      <c r="G133" s="15"/>
      <c r="H133" s="15"/>
      <c r="I133" s="3"/>
      <c r="J133" s="4"/>
      <c r="K133" s="4"/>
      <c r="L133" s="4"/>
      <c r="M133" s="4"/>
      <c r="N133" s="4"/>
      <c r="O133" s="4"/>
      <c r="P133" s="4"/>
      <c r="Q133" s="4"/>
      <c r="R133" s="4"/>
      <c r="S133" s="4"/>
      <c r="T133" s="4"/>
      <c r="U133" s="4"/>
      <c r="V133" s="4"/>
    </row>
    <row r="134" spans="1:22" ht="62.5">
      <c r="A134" s="11">
        <v>45017.083333333328</v>
      </c>
      <c r="B134" s="12" t="s">
        <v>24</v>
      </c>
      <c r="C134" s="12" t="s">
        <v>275</v>
      </c>
      <c r="D134" s="12" t="s">
        <v>276</v>
      </c>
      <c r="E134" s="13" t="str">
        <f>HYPERLINK("https://www.paris.fr/pages/appel-a-projets-cap-sur-l-economie-circulaire-20416","Ville de Paris")</f>
        <v>Ville de Paris</v>
      </c>
      <c r="F134" s="14"/>
      <c r="G134" s="15"/>
      <c r="H134" s="15"/>
      <c r="I134" s="3"/>
      <c r="J134" s="4"/>
      <c r="K134" s="4"/>
      <c r="L134" s="4"/>
      <c r="M134" s="4"/>
      <c r="N134" s="4"/>
      <c r="O134" s="4"/>
      <c r="P134" s="4"/>
      <c r="Q134" s="4"/>
      <c r="R134" s="4"/>
      <c r="S134" s="4"/>
      <c r="T134" s="4"/>
      <c r="U134" s="4"/>
      <c r="V134" s="4"/>
    </row>
    <row r="135" spans="1:22" ht="87.5">
      <c r="A135" s="11">
        <v>45017.083333333328</v>
      </c>
      <c r="B135" s="12" t="s">
        <v>29</v>
      </c>
      <c r="C135" s="12" t="s">
        <v>277</v>
      </c>
      <c r="D135" s="12" t="s">
        <v>278</v>
      </c>
      <c r="E135" s="13" t="str">
        <f>HYPERLINK("https://www.miragenews.com/eif-and-lisa-ink-deal-to-aid-swedish-smes-with-980859/","Mirage News")</f>
        <v>Mirage News</v>
      </c>
      <c r="F135" s="14"/>
      <c r="G135" s="15"/>
      <c r="H135" s="15"/>
      <c r="I135" s="3"/>
      <c r="J135" s="4"/>
      <c r="K135" s="4"/>
      <c r="L135" s="4"/>
      <c r="M135" s="4"/>
      <c r="N135" s="4"/>
      <c r="O135" s="4"/>
      <c r="P135" s="4"/>
      <c r="Q135" s="4"/>
      <c r="R135" s="4"/>
      <c r="S135" s="4"/>
      <c r="T135" s="4"/>
      <c r="U135" s="4"/>
      <c r="V135" s="4"/>
    </row>
    <row r="136" spans="1:22" ht="62.5">
      <c r="A136" s="11">
        <v>45017.083333333328</v>
      </c>
      <c r="B136" s="12" t="s">
        <v>29</v>
      </c>
      <c r="C136" s="12" t="s">
        <v>279</v>
      </c>
      <c r="D136" s="12" t="s">
        <v>280</v>
      </c>
      <c r="E136" s="13" t="str">
        <f>HYPERLINK("https://economie.fgov.be/fr/publications/financement-de-leconomie","Belgian Government")</f>
        <v>Belgian Government</v>
      </c>
      <c r="F136" s="14"/>
      <c r="G136" s="15"/>
      <c r="H136" s="15"/>
      <c r="I136" s="3"/>
      <c r="J136" s="4"/>
      <c r="K136" s="4"/>
      <c r="L136" s="4"/>
      <c r="M136" s="4"/>
      <c r="N136" s="4"/>
      <c r="O136" s="4"/>
      <c r="P136" s="4"/>
      <c r="Q136" s="4"/>
      <c r="R136" s="4"/>
      <c r="S136" s="4"/>
      <c r="T136" s="4"/>
      <c r="U136" s="4"/>
      <c r="V136" s="4"/>
    </row>
    <row r="137" spans="1:22" ht="50">
      <c r="A137" s="11">
        <v>45017.083333333328</v>
      </c>
      <c r="B137" s="12" t="s">
        <v>29</v>
      </c>
      <c r="C137" s="12" t="s">
        <v>281</v>
      </c>
      <c r="D137" s="12" t="s">
        <v>282</v>
      </c>
      <c r="E137" s="13" t="str">
        <f>HYPERLINK("https://www.eu-startups.com/2023/04/polestar-capital-extends-its-circular-economy-debt-fund-to-e187-million/","EU Start-Ups")</f>
        <v>EU Start-Ups</v>
      </c>
      <c r="F137" s="16" t="str">
        <f>HYPERLINK("https://www.polestarcapital.nl","Polestar Capital")</f>
        <v>Polestar Capital</v>
      </c>
      <c r="G137" s="15"/>
      <c r="H137" s="15"/>
      <c r="I137" s="3"/>
      <c r="J137" s="4"/>
      <c r="K137" s="4"/>
      <c r="L137" s="4"/>
      <c r="M137" s="4"/>
      <c r="N137" s="4"/>
      <c r="O137" s="4"/>
      <c r="P137" s="4"/>
      <c r="Q137" s="4"/>
      <c r="R137" s="4"/>
      <c r="S137" s="4"/>
      <c r="T137" s="4"/>
      <c r="U137" s="4"/>
      <c r="V137" s="4"/>
    </row>
    <row r="138" spans="1:22" ht="87.5">
      <c r="A138" s="11">
        <v>45017.083333333328</v>
      </c>
      <c r="B138" s="12" t="s">
        <v>29</v>
      </c>
      <c r="C138" s="12" t="s">
        <v>283</v>
      </c>
      <c r="D138" s="12" t="s">
        <v>284</v>
      </c>
      <c r="E138" s="13" t="str">
        <f>HYPERLINK("https://www.positive.news/society/six-bright-ideas-to-wipe-out-waste-circular-economy/","Positive News")</f>
        <v>Positive News</v>
      </c>
      <c r="F138" s="14"/>
      <c r="G138" s="15"/>
      <c r="H138" s="15"/>
      <c r="I138" s="3"/>
      <c r="J138" s="4"/>
      <c r="K138" s="4"/>
      <c r="L138" s="4"/>
      <c r="M138" s="4"/>
      <c r="N138" s="4"/>
      <c r="O138" s="4"/>
      <c r="P138" s="4"/>
      <c r="Q138" s="4"/>
      <c r="R138" s="4"/>
      <c r="S138" s="4"/>
      <c r="T138" s="4"/>
      <c r="U138" s="4"/>
      <c r="V138" s="4"/>
    </row>
    <row r="139" spans="1:22" ht="50">
      <c r="A139" s="11">
        <v>45017.083333333328</v>
      </c>
      <c r="B139" s="12" t="s">
        <v>32</v>
      </c>
      <c r="C139" s="12" t="s">
        <v>285</v>
      </c>
      <c r="D139" s="12" t="s">
        <v>286</v>
      </c>
      <c r="E139" s="13" t="str">
        <f>HYPERLINK("https://bibe.cell.lu/en","Bibe ")</f>
        <v xml:space="preserve">Bibe </v>
      </c>
      <c r="F139" s="14"/>
      <c r="G139" s="15"/>
      <c r="H139" s="15"/>
      <c r="I139" s="3"/>
      <c r="J139" s="4"/>
      <c r="K139" s="4"/>
      <c r="L139" s="4"/>
      <c r="M139" s="4"/>
      <c r="N139" s="4"/>
      <c r="O139" s="4"/>
      <c r="P139" s="4"/>
      <c r="Q139" s="4"/>
      <c r="R139" s="4"/>
      <c r="S139" s="4"/>
      <c r="T139" s="4"/>
      <c r="U139" s="4"/>
      <c r="V139" s="4"/>
    </row>
    <row r="140" spans="1:22" ht="75">
      <c r="A140" s="11">
        <v>45017.083333333328</v>
      </c>
      <c r="B140" s="12" t="s">
        <v>32</v>
      </c>
      <c r="C140" s="12" t="s">
        <v>287</v>
      </c>
      <c r="D140" s="12" t="s">
        <v>288</v>
      </c>
      <c r="E140" s="13" t="str">
        <f>HYPERLINK("https://wcef2023.com/programme/","WCEF")</f>
        <v>WCEF</v>
      </c>
      <c r="F140" s="14"/>
      <c r="G140" s="15"/>
      <c r="H140" s="15"/>
      <c r="I140" s="3"/>
      <c r="J140" s="4"/>
      <c r="K140" s="4"/>
      <c r="L140" s="4"/>
      <c r="M140" s="4"/>
      <c r="N140" s="4"/>
      <c r="O140" s="4"/>
      <c r="P140" s="4"/>
      <c r="Q140" s="4"/>
      <c r="R140" s="4"/>
      <c r="S140" s="4"/>
      <c r="T140" s="4"/>
      <c r="U140" s="4"/>
      <c r="V140" s="4"/>
    </row>
    <row r="141" spans="1:22" ht="50">
      <c r="A141" s="11">
        <v>45017.083333333328</v>
      </c>
      <c r="B141" s="12" t="s">
        <v>32</v>
      </c>
      <c r="C141" s="12" t="s">
        <v>289</v>
      </c>
      <c r="D141" s="12" t="s">
        <v>290</v>
      </c>
      <c r="E141" s="13" t="str">
        <f>HYPERLINK("https://dublin.ie/whats-on/listings/circular-economy-hotspot-dublin/","Dublin.ie")</f>
        <v>Dublin.ie</v>
      </c>
      <c r="F141" s="14"/>
      <c r="G141" s="15"/>
      <c r="H141" s="15"/>
      <c r="I141" s="3"/>
      <c r="J141" s="4"/>
      <c r="K141" s="4"/>
      <c r="L141" s="4"/>
      <c r="M141" s="4"/>
      <c r="N141" s="4"/>
      <c r="O141" s="4"/>
      <c r="P141" s="4"/>
      <c r="Q141" s="4"/>
      <c r="R141" s="4"/>
      <c r="S141" s="4"/>
      <c r="T141" s="4"/>
      <c r="U141" s="4"/>
      <c r="V141" s="4"/>
    </row>
    <row r="142" spans="1:22" ht="75">
      <c r="A142" s="11">
        <v>44986.041666666672</v>
      </c>
      <c r="B142" s="12" t="s">
        <v>5</v>
      </c>
      <c r="C142" s="12" t="s">
        <v>291</v>
      </c>
      <c r="D142" s="12" t="s">
        <v>292</v>
      </c>
      <c r="E142" s="13" t="str">
        <f>HYPERLINK("https://gatecconsulting.com","Gate Consulting")</f>
        <v>Gate Consulting</v>
      </c>
      <c r="F142" s="14"/>
      <c r="G142" s="15"/>
      <c r="H142" s="15"/>
      <c r="I142" s="3"/>
      <c r="J142" s="4"/>
      <c r="K142" s="4"/>
      <c r="L142" s="4"/>
      <c r="M142" s="4"/>
      <c r="N142" s="4"/>
      <c r="O142" s="4"/>
      <c r="P142" s="4"/>
      <c r="Q142" s="4"/>
      <c r="R142" s="4"/>
      <c r="S142" s="4"/>
      <c r="T142" s="4"/>
      <c r="U142" s="4"/>
      <c r="V142" s="4"/>
    </row>
    <row r="143" spans="1:22" ht="62.5">
      <c r="A143" s="11">
        <v>44986.041666666672</v>
      </c>
      <c r="B143" s="12" t="s">
        <v>5</v>
      </c>
      <c r="C143" s="12" t="s">
        <v>293</v>
      </c>
      <c r="D143" s="12" t="s">
        <v>294</v>
      </c>
      <c r="E143" s="13" t="str">
        <f>HYPERLINK("https://www.kering.com/en/news/gucci-supported-by-kering-invests-in-first-circular-hub-to-power-a-circular-made-in-italy","Kering")</f>
        <v>Kering</v>
      </c>
      <c r="F143" s="14"/>
      <c r="G143" s="15"/>
      <c r="H143" s="15"/>
      <c r="I143" s="3"/>
      <c r="J143" s="4"/>
      <c r="K143" s="4"/>
      <c r="L143" s="4"/>
      <c r="M143" s="4"/>
      <c r="N143" s="4"/>
      <c r="O143" s="4"/>
      <c r="P143" s="4"/>
      <c r="Q143" s="4"/>
      <c r="R143" s="4"/>
      <c r="S143" s="4"/>
      <c r="T143" s="4"/>
      <c r="U143" s="4"/>
      <c r="V143" s="4"/>
    </row>
    <row r="144" spans="1:22" ht="75">
      <c r="A144" s="11">
        <v>44986.041666666672</v>
      </c>
      <c r="B144" s="12" t="s">
        <v>5</v>
      </c>
      <c r="C144" s="12" t="s">
        <v>295</v>
      </c>
      <c r="D144" s="12" t="s">
        <v>296</v>
      </c>
      <c r="E144" s="13" t="str">
        <f>HYPERLINK("https://www.audi-mediacenter.com/en/press-releases/turning-old-into-new-materialloop-project-tests-circular-economy-potential-of-end-of-life-vehicles-15205","Audi")</f>
        <v>Audi</v>
      </c>
      <c r="F144" s="14"/>
      <c r="G144" s="15"/>
      <c r="H144" s="15"/>
      <c r="I144" s="3"/>
      <c r="J144" s="4"/>
      <c r="K144" s="4"/>
      <c r="L144" s="4"/>
      <c r="M144" s="4"/>
      <c r="N144" s="4"/>
      <c r="O144" s="4"/>
      <c r="P144" s="4"/>
      <c r="Q144" s="4"/>
      <c r="R144" s="4"/>
      <c r="S144" s="4"/>
      <c r="T144" s="4"/>
      <c r="U144" s="4"/>
      <c r="V144" s="4"/>
    </row>
    <row r="145" spans="1:22" ht="100">
      <c r="A145" s="11">
        <v>44986.041666666672</v>
      </c>
      <c r="B145" s="12" t="s">
        <v>5</v>
      </c>
      <c r="C145" s="12" t="s">
        <v>297</v>
      </c>
      <c r="D145" s="12" t="s">
        <v>298</v>
      </c>
      <c r="E145" s="13" t="str">
        <f>HYPERLINK("https://phys.org/news/2023-03-switzerland-citizens-circular-economy-products.html","Phys.org")</f>
        <v>Phys.org</v>
      </c>
      <c r="F145" s="16" t="str">
        <f>HYPERLINK("https://environnement.public.lu/fr/actualites/2021/10/reemploi-tns.html","Environnement.lu")</f>
        <v>Environnement.lu</v>
      </c>
      <c r="G145" s="15"/>
      <c r="H145" s="15"/>
      <c r="I145" s="3"/>
      <c r="J145" s="4"/>
      <c r="K145" s="4"/>
      <c r="L145" s="4"/>
      <c r="M145" s="4"/>
      <c r="N145" s="4"/>
      <c r="O145" s="4"/>
      <c r="P145" s="4"/>
      <c r="Q145" s="4"/>
      <c r="R145" s="4"/>
      <c r="S145" s="4"/>
      <c r="T145" s="4"/>
      <c r="U145" s="4"/>
      <c r="V145" s="4"/>
    </row>
    <row r="146" spans="1:22" ht="75">
      <c r="A146" s="11">
        <v>44986.041666666672</v>
      </c>
      <c r="B146" s="12" t="s">
        <v>14</v>
      </c>
      <c r="C146" s="12" t="s">
        <v>299</v>
      </c>
      <c r="D146" s="12" t="s">
        <v>300</v>
      </c>
      <c r="E146" s="13" t="str">
        <f>HYPERLINK("https://www.list.lu/fr/news/vers-des-batteries-lithium-ion-plus-sures-et-plus-durables/?no_cache=1&amp;cHash=864ca294e9ede349653316f96dd6c92f&amp;fbclid=IwAR1QaCrxYW6sbY5m7IHOfGCS9KDrKc6NNLxS64t5Nj74xD7UNvCGswoaBxc","LIST.lu")</f>
        <v>LIST.lu</v>
      </c>
      <c r="F146" s="16" t="str">
        <f>HYPERLINK("https://www.siliconluxembourg.lu/circuli-ion-fighting-the-climate-crisis-by-giving-batteries-a-second-life/","Silicon Luxembourg")</f>
        <v>Silicon Luxembourg</v>
      </c>
      <c r="G146" s="15"/>
      <c r="H146" s="15"/>
      <c r="I146" s="3"/>
      <c r="J146" s="4"/>
      <c r="K146" s="4"/>
      <c r="L146" s="4"/>
      <c r="M146" s="4"/>
      <c r="N146" s="4"/>
      <c r="O146" s="4"/>
      <c r="P146" s="4"/>
      <c r="Q146" s="4"/>
      <c r="R146" s="4"/>
      <c r="S146" s="4"/>
      <c r="T146" s="4"/>
      <c r="U146" s="4"/>
      <c r="V146" s="4"/>
    </row>
    <row r="147" spans="1:22" ht="87.5">
      <c r="A147" s="11">
        <v>44986.041666666672</v>
      </c>
      <c r="B147" s="12" t="s">
        <v>14</v>
      </c>
      <c r="C147" s="12" t="s">
        <v>301</v>
      </c>
      <c r="D147" s="12" t="s">
        <v>302</v>
      </c>
      <c r="E147" s="13" t="str">
        <f>HYPERLINK("https://blog.google/outreach-initiatives/entrepreneurs/circular-economy-accelerator/","Google")</f>
        <v>Google</v>
      </c>
      <c r="F147" s="16" t="str">
        <f>HYPERLINK("https://www.aboutamazon.co.uk/news/sustainability/amazon-sustainability-accelerator-returns-to-find-leading-start-ups-in-recycling-innovation","Amazon")</f>
        <v>Amazon</v>
      </c>
      <c r="G147" s="15"/>
      <c r="H147" s="15"/>
      <c r="I147" s="3"/>
      <c r="J147" s="4"/>
      <c r="K147" s="4"/>
      <c r="L147" s="4"/>
      <c r="M147" s="4"/>
      <c r="N147" s="4"/>
      <c r="O147" s="4"/>
      <c r="P147" s="4"/>
      <c r="Q147" s="4"/>
      <c r="R147" s="4"/>
      <c r="S147" s="4"/>
      <c r="T147" s="4"/>
      <c r="U147" s="4"/>
      <c r="V147" s="4"/>
    </row>
    <row r="148" spans="1:22" ht="50">
      <c r="A148" s="11">
        <v>44986.041666666672</v>
      </c>
      <c r="B148" s="12" t="s">
        <v>21</v>
      </c>
      <c r="C148" s="12" t="s">
        <v>303</v>
      </c>
      <c r="D148" s="12" t="s">
        <v>304</v>
      </c>
      <c r="E148" s="13" t="str">
        <f>HYPERLINK("https://www.infogreen.lu/vers-une-meilleure-caracterisation-et-une-professionnalisation-de-la-production.html","Info Green")</f>
        <v>Info Green</v>
      </c>
      <c r="F148" s="16" t="str">
        <f>HYPERLINK("https://geobloc.lu/#e8c4bc17a4fda229eb1fcc4788cfbc12","Geobloc")</f>
        <v>Geobloc</v>
      </c>
      <c r="G148" s="15"/>
      <c r="H148" s="15"/>
      <c r="I148" s="3"/>
      <c r="J148" s="4"/>
      <c r="K148" s="4"/>
      <c r="L148" s="4"/>
      <c r="M148" s="4"/>
      <c r="N148" s="4"/>
      <c r="O148" s="4"/>
      <c r="P148" s="4"/>
      <c r="Q148" s="4"/>
      <c r="R148" s="4"/>
      <c r="S148" s="4"/>
      <c r="T148" s="4"/>
      <c r="U148" s="4"/>
      <c r="V148" s="4"/>
    </row>
    <row r="149" spans="1:22" ht="50">
      <c r="A149" s="11">
        <v>44986.041666666672</v>
      </c>
      <c r="B149" s="12" t="s">
        <v>21</v>
      </c>
      <c r="C149" s="12" t="s">
        <v>305</v>
      </c>
      <c r="D149" s="12" t="s">
        <v>306</v>
      </c>
      <c r="E149" s="13" t="str">
        <f>HYPERLINK("https://www.infogreen.lu/focus-sur-la-paille.html","Info Green")</f>
        <v>Info Green</v>
      </c>
      <c r="F149" s="14"/>
      <c r="G149" s="15"/>
      <c r="H149" s="15"/>
      <c r="I149" s="3"/>
      <c r="J149" s="4"/>
      <c r="K149" s="4"/>
      <c r="L149" s="4"/>
      <c r="M149" s="4"/>
      <c r="N149" s="4"/>
      <c r="O149" s="4"/>
      <c r="P149" s="4"/>
      <c r="Q149" s="4"/>
      <c r="R149" s="4"/>
      <c r="S149" s="4"/>
      <c r="T149" s="4"/>
      <c r="U149" s="4"/>
      <c r="V149" s="4"/>
    </row>
    <row r="150" spans="1:22" ht="75">
      <c r="A150" s="11">
        <v>44986.041666666672</v>
      </c>
      <c r="B150" s="12" t="s">
        <v>21</v>
      </c>
      <c r="C150" s="12" t="s">
        <v>307</v>
      </c>
      <c r="D150" s="12" t="s">
        <v>308</v>
      </c>
      <c r="E150" s="13" t="str">
        <f>HYPERLINK("https://joint-research-centre.ec.europa.eu/jrc-news/bioeconomy-eu-moving-towards-its-goals-environmental-challenges-persist-2023-02-28_en","European Commission")</f>
        <v>European Commission</v>
      </c>
      <c r="F150" s="14"/>
      <c r="G150" s="15"/>
      <c r="H150" s="15"/>
      <c r="I150" s="3"/>
      <c r="J150" s="4"/>
      <c r="K150" s="4"/>
      <c r="L150" s="4"/>
      <c r="M150" s="4"/>
      <c r="N150" s="4"/>
      <c r="O150" s="4"/>
      <c r="P150" s="4"/>
      <c r="Q150" s="4"/>
      <c r="R150" s="4"/>
      <c r="S150" s="4"/>
      <c r="T150" s="4"/>
      <c r="U150" s="4"/>
      <c r="V150" s="4"/>
    </row>
    <row r="151" spans="1:22" ht="62.5">
      <c r="A151" s="11">
        <v>44986.041666666672</v>
      </c>
      <c r="B151" s="12" t="s">
        <v>24</v>
      </c>
      <c r="C151" s="12" t="s">
        <v>309</v>
      </c>
      <c r="D151" s="12" t="s">
        <v>310</v>
      </c>
      <c r="E151" s="13" t="str">
        <f>HYPERLINK("https://www.infogreen.lu/collaborer-avec-l-existant-pour-reduire-la-multitude-des-systemes.html","Info Green")</f>
        <v>Info Green</v>
      </c>
      <c r="F151" s="14"/>
      <c r="G151" s="15"/>
      <c r="H151" s="15"/>
      <c r="I151" s="3"/>
      <c r="J151" s="4"/>
      <c r="K151" s="4"/>
      <c r="L151" s="4"/>
      <c r="M151" s="4"/>
      <c r="N151" s="4"/>
      <c r="O151" s="4"/>
      <c r="P151" s="4"/>
      <c r="Q151" s="4"/>
      <c r="R151" s="4"/>
      <c r="S151" s="4"/>
      <c r="T151" s="4"/>
      <c r="U151" s="4"/>
      <c r="V151" s="4"/>
    </row>
    <row r="152" spans="1:22" ht="75">
      <c r="A152" s="11">
        <v>44986.041666666672</v>
      </c>
      <c r="B152" s="12" t="s">
        <v>24</v>
      </c>
      <c r="C152" s="12" t="s">
        <v>311</v>
      </c>
      <c r="D152" s="12" t="s">
        <v>312</v>
      </c>
      <c r="E152" s="13" t="str">
        <f>HYPERLINK("https://www.eea.europa.eu/publications/eu-exports-of-used-textiles","European Environment Agency")</f>
        <v>European Environment Agency</v>
      </c>
      <c r="F152" s="16" t="str">
        <f>HYPERLINK("https://environment.ec.europa.eu/topics/circular-economy/reset-trend_en","European Commission")</f>
        <v>European Commission</v>
      </c>
      <c r="G152" s="17" t="str">
        <f>HYPERLINK("https://environment.ec.europa.eu/topics/circular-economy/reset-trend/get-inspired-stories-change/upcycling-fashion_en","European Commission")</f>
        <v>European Commission</v>
      </c>
      <c r="H152" s="15"/>
      <c r="I152" s="3"/>
      <c r="J152" s="4"/>
      <c r="K152" s="4"/>
      <c r="L152" s="4"/>
      <c r="M152" s="4"/>
      <c r="N152" s="4"/>
      <c r="O152" s="4"/>
      <c r="P152" s="4"/>
      <c r="Q152" s="4"/>
      <c r="R152" s="4"/>
      <c r="S152" s="4"/>
      <c r="T152" s="4"/>
      <c r="U152" s="4"/>
      <c r="V152" s="4"/>
    </row>
    <row r="153" spans="1:22" ht="62.5">
      <c r="A153" s="11">
        <v>44986.041666666672</v>
      </c>
      <c r="B153" s="12" t="s">
        <v>24</v>
      </c>
      <c r="C153" s="12" t="s">
        <v>313</v>
      </c>
      <c r="D153" s="12" t="s">
        <v>314</v>
      </c>
      <c r="E153" s="13" t="str">
        <f>HYPERLINK("https://institute.global/policy/addressing-circular-economys-information-challenges","Tony Blair Institute")</f>
        <v>Tony Blair Institute</v>
      </c>
      <c r="F153" s="14"/>
      <c r="G153" s="15"/>
      <c r="H153" s="15"/>
      <c r="I153" s="3"/>
      <c r="J153" s="4"/>
      <c r="K153" s="4"/>
      <c r="L153" s="4"/>
      <c r="M153" s="4"/>
      <c r="N153" s="4"/>
      <c r="O153" s="4"/>
      <c r="P153" s="4"/>
      <c r="Q153" s="4"/>
      <c r="R153" s="4"/>
      <c r="S153" s="4"/>
      <c r="T153" s="4"/>
      <c r="U153" s="4"/>
      <c r="V153" s="4"/>
    </row>
    <row r="154" spans="1:22" ht="100">
      <c r="A154" s="11">
        <v>44986.041666666672</v>
      </c>
      <c r="B154" s="12" t="s">
        <v>29</v>
      </c>
      <c r="C154" s="12" t="s">
        <v>315</v>
      </c>
      <c r="D154" s="12" t="s">
        <v>316</v>
      </c>
      <c r="E154" s="13" t="str">
        <f>HYPERLINK("https://www.marketscreener.com/quote/stock/AMUNDI-24827105/news/Amundi-CPR-AM-strengthens-its-thematic-range-with-the-launch-of-CPR-Invest-ndash-Circular-Econom-43119843/","MarketScreener")</f>
        <v>MarketScreener</v>
      </c>
      <c r="F154" s="16" t="str">
        <f>HYPERLINK("https://professionalparaplanner.co.uk/pictet-launches-regeneration-global-equity-fund/?utm_source=rss&amp;utm_medium=rss&amp;utm_campaign=pictet-launches-regeneration-global-equity-fund","Professional Planner")</f>
        <v>Professional Planner</v>
      </c>
      <c r="G154" s="15"/>
      <c r="H154" s="15"/>
      <c r="I154" s="3"/>
      <c r="J154" s="4"/>
      <c r="K154" s="4"/>
      <c r="L154" s="4"/>
      <c r="M154" s="4"/>
      <c r="N154" s="4"/>
      <c r="O154" s="4"/>
      <c r="P154" s="4"/>
      <c r="Q154" s="4"/>
      <c r="R154" s="4"/>
      <c r="S154" s="4"/>
      <c r="T154" s="4"/>
      <c r="U154" s="4"/>
      <c r="V154" s="4"/>
    </row>
    <row r="155" spans="1:22" ht="62.5">
      <c r="A155" s="11">
        <v>44986.041666666672</v>
      </c>
      <c r="B155" s="12" t="s">
        <v>29</v>
      </c>
      <c r="C155" s="12" t="s">
        <v>317</v>
      </c>
      <c r="D155" s="12" t="s">
        <v>318</v>
      </c>
      <c r="E155" s="13" t="str">
        <f>HYPERLINK("https://www.eralberta.ca/funding-technology/circular-economy-challenge/","ERA Alberta")</f>
        <v>ERA Alberta</v>
      </c>
      <c r="F155" s="16" t="str">
        <f>HYPERLINK("https://www.globenewswire.com/news-release/2023/02/13/2607036/0/en/Alberta-announces-58-million-for-circular-economy-projects-worth-528-million-in-public-and-private-investment.html","Emissions Reduction Alberta")</f>
        <v>Emissions Reduction Alberta</v>
      </c>
      <c r="G155" s="15"/>
      <c r="H155" s="15"/>
      <c r="I155" s="3"/>
      <c r="J155" s="4"/>
      <c r="K155" s="4"/>
      <c r="L155" s="4"/>
      <c r="M155" s="4"/>
      <c r="N155" s="4"/>
      <c r="O155" s="4"/>
      <c r="P155" s="4"/>
      <c r="Q155" s="4"/>
      <c r="R155" s="4"/>
      <c r="S155" s="4"/>
      <c r="T155" s="4"/>
      <c r="U155" s="4"/>
      <c r="V155" s="4"/>
    </row>
    <row r="156" spans="1:22" ht="100">
      <c r="A156" s="11">
        <v>44986.041666666672</v>
      </c>
      <c r="B156" s="12" t="s">
        <v>32</v>
      </c>
      <c r="C156" s="12" t="s">
        <v>319</v>
      </c>
      <c r="D156" s="12" t="s">
        <v>320</v>
      </c>
      <c r="E156" s="13" t="str">
        <f>HYPERLINK("https://circularcitiesdeclaration.eu/news?c=search&amp;uid=FTzwA1d7","Circular Cities")</f>
        <v>Circular Cities</v>
      </c>
      <c r="F156" s="16" t="str">
        <f>HYPERLINK("https://www.wiltz.lu/fr/grands-projets/hotspot-de-l-economie-circulaire/introduction","Commune de Wiltz")</f>
        <v>Commune de Wiltz</v>
      </c>
      <c r="G156" s="17" t="str">
        <f>HYPERLINK("https://circularcitiesdeclaration.eu/fileadmin/user_upload/CCD-Report-2022.pdf","Circular Cities")</f>
        <v>Circular Cities</v>
      </c>
      <c r="H156" s="15"/>
      <c r="I156" s="3"/>
      <c r="J156" s="4"/>
      <c r="K156" s="4"/>
      <c r="L156" s="4"/>
      <c r="M156" s="4"/>
      <c r="N156" s="4"/>
      <c r="O156" s="4"/>
      <c r="P156" s="4"/>
      <c r="Q156" s="4"/>
      <c r="R156" s="4"/>
      <c r="S156" s="4"/>
      <c r="T156" s="4"/>
      <c r="U156" s="4"/>
      <c r="V156" s="4"/>
    </row>
    <row r="157" spans="1:22" ht="62.5">
      <c r="A157" s="11">
        <v>44986.041666666672</v>
      </c>
      <c r="B157" s="12" t="s">
        <v>32</v>
      </c>
      <c r="C157" s="12" t="s">
        <v>321</v>
      </c>
      <c r="D157" s="12" t="s">
        <v>322</v>
      </c>
      <c r="E157" s="13" t="str">
        <f>HYPERLINK("https://circulareconomy.europa.eu/platform/en/annual-conference-2023-recovery-open-strategic-autonomy-and-resilience","Circular Economy")</f>
        <v>Circular Economy</v>
      </c>
      <c r="F157" s="16" t="str">
        <f>HYPERLINK("https://environment.ec.europa.eu/news/circular-economy-stakeholder-conference-reinforces-role-circular-economy-driving-eus-strategic-2023-02-27_en","European Commission")</f>
        <v>European Commission</v>
      </c>
      <c r="G157" s="15"/>
      <c r="H157" s="15"/>
      <c r="I157" s="3"/>
      <c r="J157" s="4"/>
      <c r="K157" s="4"/>
      <c r="L157" s="4"/>
      <c r="M157" s="4"/>
      <c r="N157" s="4"/>
      <c r="O157" s="4"/>
      <c r="P157" s="4"/>
      <c r="Q157" s="4"/>
      <c r="R157" s="4"/>
      <c r="S157" s="4"/>
      <c r="T157" s="4"/>
      <c r="U157" s="4"/>
      <c r="V157" s="4"/>
    </row>
    <row r="158" spans="1:22" ht="50">
      <c r="A158" s="11">
        <v>44986.041666666672</v>
      </c>
      <c r="B158" s="12" t="s">
        <v>32</v>
      </c>
      <c r="C158" s="12" t="s">
        <v>323</v>
      </c>
      <c r="D158" s="12" t="s">
        <v>324</v>
      </c>
      <c r="E158" s="13" t="str">
        <f>HYPERLINK("https://circulareconomy.europa.eu/platform/en/news-and-events/all-news/save-date-after-success-past-editions-circular-week-back-23-27-october-2023","European Union")</f>
        <v>European Union</v>
      </c>
      <c r="F158" s="14"/>
      <c r="G158" s="15"/>
      <c r="H158" s="15"/>
      <c r="I158" s="3"/>
      <c r="J158" s="4"/>
      <c r="K158" s="4"/>
      <c r="L158" s="4"/>
      <c r="M158" s="4"/>
      <c r="N158" s="4"/>
      <c r="O158" s="4"/>
      <c r="P158" s="4"/>
      <c r="Q158" s="4"/>
      <c r="R158" s="4"/>
      <c r="S158" s="4"/>
      <c r="T158" s="4"/>
      <c r="U158" s="4"/>
      <c r="V158" s="4"/>
    </row>
    <row r="159" spans="1:22" ht="75">
      <c r="A159" s="11">
        <v>44958.041666666672</v>
      </c>
      <c r="B159" s="12" t="s">
        <v>5</v>
      </c>
      <c r="C159" s="12" t="s">
        <v>325</v>
      </c>
      <c r="D159" s="12" t="s">
        <v>326</v>
      </c>
      <c r="E159" s="13" t="str">
        <f>HYPERLINK("https://www.circularity-gap.world/2023#download","Circle Economy ")</f>
        <v xml:space="preserve">Circle Economy </v>
      </c>
      <c r="F159" s="14"/>
      <c r="G159" s="15"/>
      <c r="H159" s="15"/>
      <c r="I159" s="3"/>
      <c r="J159" s="4"/>
      <c r="K159" s="4"/>
      <c r="L159" s="4"/>
      <c r="M159" s="4"/>
      <c r="N159" s="4"/>
      <c r="O159" s="4"/>
      <c r="P159" s="4"/>
      <c r="Q159" s="4"/>
      <c r="R159" s="4"/>
      <c r="S159" s="4"/>
      <c r="T159" s="4"/>
      <c r="U159" s="4"/>
      <c r="V159" s="4"/>
    </row>
    <row r="160" spans="1:22" ht="75">
      <c r="A160" s="11">
        <v>44958.041666666672</v>
      </c>
      <c r="B160" s="12" t="s">
        <v>5</v>
      </c>
      <c r="C160" s="12" t="s">
        <v>327</v>
      </c>
      <c r="D160" s="12" t="s">
        <v>328</v>
      </c>
      <c r="E160" s="13" t="str">
        <f>HYPERLINK("https://www.mobileeurope.co.uk/circular-economy-drove-mvno-refurbly-upwardly-mobile/","Mobile Europe")</f>
        <v>Mobile Europe</v>
      </c>
      <c r="F160" s="14"/>
      <c r="G160" s="15"/>
      <c r="H160" s="15"/>
      <c r="I160" s="3"/>
      <c r="J160" s="4"/>
      <c r="K160" s="4"/>
      <c r="L160" s="4"/>
      <c r="M160" s="4"/>
      <c r="N160" s="4"/>
      <c r="O160" s="4"/>
      <c r="P160" s="4"/>
      <c r="Q160" s="4"/>
      <c r="R160" s="4"/>
      <c r="S160" s="4"/>
      <c r="T160" s="4"/>
      <c r="U160" s="4"/>
      <c r="V160" s="4"/>
    </row>
    <row r="161" spans="1:22" ht="62.5">
      <c r="A161" s="11">
        <v>44958.041666666672</v>
      </c>
      <c r="B161" s="12" t="s">
        <v>14</v>
      </c>
      <c r="C161" s="12" t="s">
        <v>329</v>
      </c>
      <c r="D161" s="12" t="s">
        <v>330</v>
      </c>
      <c r="E161" s="13" t="str">
        <f>HYPERLINK("https://www.infogreen.lu/circularite-et-durabilite-de-l-industrie-acier-en-europe.html","Info Green")</f>
        <v>Info Green</v>
      </c>
      <c r="F161" s="16" t="str">
        <f>HYPERLINK("https://www.developmentaid.org/organizations/awards/view/410575/upgrading-of-low-quality-iron-ores-and-mill-scale-with-low-carbon-technologies-transzerowaste","Development Aid")</f>
        <v>Development Aid</v>
      </c>
      <c r="G161" s="15"/>
      <c r="H161" s="15"/>
      <c r="I161" s="3"/>
      <c r="J161" s="4"/>
      <c r="K161" s="4"/>
      <c r="L161" s="4"/>
      <c r="M161" s="4"/>
      <c r="N161" s="4"/>
      <c r="O161" s="4"/>
      <c r="P161" s="4"/>
      <c r="Q161" s="4"/>
      <c r="R161" s="4"/>
      <c r="S161" s="4"/>
      <c r="T161" s="4"/>
      <c r="U161" s="4"/>
      <c r="V161" s="4"/>
    </row>
    <row r="162" spans="1:22" ht="87.5">
      <c r="A162" s="11">
        <v>44958.041666666672</v>
      </c>
      <c r="B162" s="12" t="s">
        <v>14</v>
      </c>
      <c r="C162" s="12" t="s">
        <v>331</v>
      </c>
      <c r="D162" s="12" t="s">
        <v>332</v>
      </c>
      <c r="E162" s="13" t="str">
        <f>HYPERLINK("https://www.circularonline.co.uk/news/new-tech-enables-packaging-tracing-through-circular-economy/","Circular Online")</f>
        <v>Circular Online</v>
      </c>
      <c r="F162" s="16" t="str">
        <f>HYPERLINK("https://packagingeurope.com/news/holygrail-20-to-launch-pilot-in-french-market-marking-a-new-project-phase/9280.article","Packaging Europe")</f>
        <v>Packaging Europe</v>
      </c>
      <c r="G162" s="15"/>
      <c r="H162" s="15"/>
      <c r="I162" s="3"/>
      <c r="J162" s="4"/>
      <c r="K162" s="4"/>
      <c r="L162" s="4"/>
      <c r="M162" s="4"/>
      <c r="N162" s="4"/>
      <c r="O162" s="4"/>
      <c r="P162" s="4"/>
      <c r="Q162" s="4"/>
      <c r="R162" s="4"/>
      <c r="S162" s="4"/>
      <c r="T162" s="4"/>
      <c r="U162" s="4"/>
      <c r="V162" s="4"/>
    </row>
    <row r="163" spans="1:22" ht="62.5">
      <c r="A163" s="11">
        <v>44958.041666666672</v>
      </c>
      <c r="B163" s="12" t="s">
        <v>21</v>
      </c>
      <c r="C163" s="12" t="s">
        <v>333</v>
      </c>
      <c r="D163" s="12" t="s">
        <v>334</v>
      </c>
      <c r="E163" s="13" t="str">
        <f>HYPERLINK("https://www.closedlooppartners.com/closed-loop-partners-joins-forces-with-u-s-composters-and-composting-industry-to-launch-large-scale-in-field-degradation-tests-for-compostable-packaging/","Closed Loop Partners")</f>
        <v>Closed Loop Partners</v>
      </c>
      <c r="F163" s="14"/>
      <c r="G163" s="15"/>
      <c r="H163" s="15"/>
      <c r="I163" s="3"/>
      <c r="J163" s="4"/>
      <c r="K163" s="4"/>
      <c r="L163" s="4"/>
      <c r="M163" s="4"/>
      <c r="N163" s="4"/>
      <c r="O163" s="4"/>
      <c r="P163" s="4"/>
      <c r="Q163" s="4"/>
      <c r="R163" s="4"/>
      <c r="S163" s="4"/>
      <c r="T163" s="4"/>
      <c r="U163" s="4"/>
      <c r="V163" s="4"/>
    </row>
    <row r="164" spans="1:22" ht="62.5">
      <c r="A164" s="11">
        <v>44958.041666666672</v>
      </c>
      <c r="B164" s="12" t="s">
        <v>21</v>
      </c>
      <c r="C164" s="12" t="s">
        <v>335</v>
      </c>
      <c r="D164" s="12" t="s">
        <v>336</v>
      </c>
      <c r="E164" s="13" t="str">
        <f>HYPERLINK("https://eubionet.eu/robin-project/","EU Bionet")</f>
        <v>EU Bionet</v>
      </c>
      <c r="F164" s="14"/>
      <c r="G164" s="15"/>
      <c r="H164" s="15"/>
      <c r="I164" s="3"/>
      <c r="J164" s="4"/>
      <c r="K164" s="4"/>
      <c r="L164" s="4"/>
      <c r="M164" s="4"/>
      <c r="N164" s="4"/>
      <c r="O164" s="4"/>
      <c r="P164" s="4"/>
      <c r="Q164" s="4"/>
      <c r="R164" s="4"/>
      <c r="S164" s="4"/>
      <c r="T164" s="4"/>
      <c r="U164" s="4"/>
      <c r="V164" s="4"/>
    </row>
    <row r="165" spans="1:22" ht="100">
      <c r="A165" s="11">
        <v>44958.041666666672</v>
      </c>
      <c r="B165" s="12" t="s">
        <v>24</v>
      </c>
      <c r="C165" s="12" t="s">
        <v>337</v>
      </c>
      <c r="D165" s="12" t="s">
        <v>338</v>
      </c>
      <c r="E165" s="13" t="str">
        <f>HYPERLINK("https://www.infogreen.lu/faciliter-l-adoption-de-bonnes-pratiques-de-deconstruction.html","Info Green")</f>
        <v>Info Green</v>
      </c>
      <c r="F165" s="14"/>
      <c r="G165" s="15"/>
      <c r="H165" s="15"/>
      <c r="I165" s="3"/>
      <c r="J165" s="4"/>
      <c r="K165" s="4"/>
      <c r="L165" s="4"/>
      <c r="M165" s="4"/>
      <c r="N165" s="4"/>
      <c r="O165" s="4"/>
      <c r="P165" s="4"/>
      <c r="Q165" s="4"/>
      <c r="R165" s="4"/>
      <c r="S165" s="4"/>
      <c r="T165" s="4"/>
      <c r="U165" s="4"/>
      <c r="V165" s="4"/>
    </row>
    <row r="166" spans="1:22" ht="50">
      <c r="A166" s="11">
        <v>44958.041666666672</v>
      </c>
      <c r="B166" s="12" t="s">
        <v>24</v>
      </c>
      <c r="C166" s="12" t="s">
        <v>339</v>
      </c>
      <c r="D166" s="12" t="s">
        <v>340</v>
      </c>
      <c r="E166" s="13" t="str">
        <f>HYPERLINK("https://seenews.com/news/bulgaria-to-fund-circular-economy-projects-via-92-mln-euro-grant-813636","See News")</f>
        <v>See News</v>
      </c>
      <c r="F166" s="14"/>
      <c r="G166" s="15"/>
      <c r="H166" s="15"/>
      <c r="I166" s="3"/>
      <c r="J166" s="4"/>
      <c r="K166" s="4"/>
      <c r="L166" s="4"/>
      <c r="M166" s="4"/>
      <c r="N166" s="4"/>
      <c r="O166" s="4"/>
      <c r="P166" s="4"/>
      <c r="Q166" s="4"/>
      <c r="R166" s="4"/>
      <c r="S166" s="4"/>
      <c r="T166" s="4"/>
      <c r="U166" s="4"/>
      <c r="V166" s="4"/>
    </row>
    <row r="167" spans="1:22" ht="75">
      <c r="A167" s="11">
        <v>44958.041666666672</v>
      </c>
      <c r="B167" s="12" t="s">
        <v>24</v>
      </c>
      <c r="C167" s="12" t="s">
        <v>341</v>
      </c>
      <c r="D167" s="12" t="s">
        <v>342</v>
      </c>
      <c r="E167" s="13" t="str">
        <f>HYPERLINK("https://policyoptions.irpp.org/magazines/february-2023/food-waste-circular-system/","Policy Options")</f>
        <v>Policy Options</v>
      </c>
      <c r="F167" s="14"/>
      <c r="G167" s="15"/>
      <c r="H167" s="15"/>
      <c r="I167" s="3"/>
      <c r="J167" s="4"/>
      <c r="K167" s="4"/>
      <c r="L167" s="4"/>
      <c r="M167" s="4"/>
      <c r="N167" s="4"/>
      <c r="O167" s="4"/>
      <c r="P167" s="4"/>
      <c r="Q167" s="4"/>
      <c r="R167" s="4"/>
      <c r="S167" s="4"/>
      <c r="T167" s="4"/>
      <c r="U167" s="4"/>
      <c r="V167" s="4"/>
    </row>
    <row r="168" spans="1:22" ht="62.5">
      <c r="A168" s="11">
        <v>44958.041666666672</v>
      </c>
      <c r="B168" s="12" t="s">
        <v>29</v>
      </c>
      <c r="C168" s="12" t="s">
        <v>343</v>
      </c>
      <c r="D168" s="12" t="s">
        <v>344</v>
      </c>
      <c r="E168" s="13" t="e">
        <f>HYPERLINK("https://techcrunch.com/2023/01/31/fairphone-growth-capital-raise/?guccounter=1&amp;guce_referrer=aHR0cHM6Ly93d3cuZ29vZ2xlLmNvbS8&amp;guce_referrer_sig=AQAAAEz26frj5JddQIAPULixoiia8n7d2coCenVS61i49I_fKVmRGF7loF7Tm5ziskZGac5LXMdqnsOecsc64LhzehR-61QBzg5NpuyeDtzHY5eI"&amp;"so9HMLMFFRXI2gQZRxsM68U5HxxanOXXhfCBixoU6wsJnePOL23dElIhPdIkcW7R","TechCrunch ")</f>
        <v>#VALUE!</v>
      </c>
      <c r="F168" s="16" t="str">
        <f>HYPERLINK("https://www.fairphone.com/en/impact/fair-materials/","Fairphone")</f>
        <v>Fairphone</v>
      </c>
      <c r="G168" s="15"/>
      <c r="H168" s="15"/>
      <c r="I168" s="3"/>
      <c r="J168" s="4"/>
      <c r="K168" s="4"/>
      <c r="L168" s="4"/>
      <c r="M168" s="4"/>
      <c r="N168" s="4"/>
      <c r="O168" s="4"/>
      <c r="P168" s="4"/>
      <c r="Q168" s="4"/>
      <c r="R168" s="4"/>
      <c r="S168" s="4"/>
      <c r="T168" s="4"/>
      <c r="U168" s="4"/>
      <c r="V168" s="4"/>
    </row>
    <row r="169" spans="1:22" ht="75">
      <c r="A169" s="11">
        <v>44958.041666666672</v>
      </c>
      <c r="B169" s="12" t="s">
        <v>29</v>
      </c>
      <c r="C169" s="12" t="s">
        <v>345</v>
      </c>
      <c r="D169" s="12" t="s">
        <v>346</v>
      </c>
      <c r="E169" s="13" t="str">
        <f>HYPERLINK("https://www.prnewswire.com/news-releases/buoyant-ventures-closes-76m-debut-fund-targeting-digital-solutions-to-combat-climate-change-301737286.html","Buoyant Ventures")</f>
        <v>Buoyant Ventures</v>
      </c>
      <c r="F169" s="14"/>
      <c r="G169" s="15"/>
      <c r="H169" s="15"/>
      <c r="I169" s="3"/>
      <c r="J169" s="4"/>
      <c r="K169" s="4"/>
      <c r="L169" s="4"/>
      <c r="M169" s="4"/>
      <c r="N169" s="4"/>
      <c r="O169" s="4"/>
      <c r="P169" s="4"/>
      <c r="Q169" s="4"/>
      <c r="R169" s="4"/>
      <c r="S169" s="4"/>
      <c r="T169" s="4"/>
      <c r="U169" s="4"/>
      <c r="V169" s="4"/>
    </row>
    <row r="170" spans="1:22" ht="50">
      <c r="A170" s="11">
        <v>44958.041666666672</v>
      </c>
      <c r="B170" s="12" t="s">
        <v>29</v>
      </c>
      <c r="C170" s="12" t="s">
        <v>347</v>
      </c>
      <c r="D170" s="12" t="s">
        <v>348</v>
      </c>
      <c r="E170" s="13" t="str">
        <f>HYPERLINK("https://www.eu-startups.com/2023/01/uk-based-fintech-raylo-lands-e124-million-as-demand-for-tech-on-subscription-ramps-up/","EU Start-Ups")</f>
        <v>EU Start-Ups</v>
      </c>
      <c r="F170" s="14"/>
      <c r="G170" s="15"/>
      <c r="H170" s="15"/>
      <c r="I170" s="3"/>
      <c r="J170" s="4"/>
      <c r="K170" s="4"/>
      <c r="L170" s="4"/>
      <c r="M170" s="4"/>
      <c r="N170" s="4"/>
      <c r="O170" s="4"/>
      <c r="P170" s="4"/>
      <c r="Q170" s="4"/>
      <c r="R170" s="4"/>
      <c r="S170" s="4"/>
      <c r="T170" s="4"/>
      <c r="U170" s="4"/>
      <c r="V170" s="4"/>
    </row>
    <row r="171" spans="1:22" ht="62.5">
      <c r="A171" s="11">
        <v>44958.041666666672</v>
      </c>
      <c r="B171" s="12" t="s">
        <v>32</v>
      </c>
      <c r="C171" s="12" t="s">
        <v>349</v>
      </c>
      <c r="D171" s="12" t="s">
        <v>350</v>
      </c>
      <c r="E171" s="13" t="str">
        <f>HYPERLINK("https://guttgeschier.myturn.com/library/","Gutt Geschier (myturn.com)")</f>
        <v>Gutt Geschier (myturn.com)</v>
      </c>
      <c r="F171" s="16" t="str">
        <f>HYPERLINK("https://www.infogreen.lu/joindre-l-outil-a-l-agreable.html","Info Green")</f>
        <v>Info Green</v>
      </c>
      <c r="G171" s="15"/>
      <c r="H171" s="15"/>
      <c r="I171" s="3"/>
      <c r="J171" s="4"/>
      <c r="K171" s="4"/>
      <c r="L171" s="4"/>
      <c r="M171" s="4"/>
      <c r="N171" s="4"/>
      <c r="O171" s="4"/>
      <c r="P171" s="4"/>
      <c r="Q171" s="4"/>
      <c r="R171" s="4"/>
      <c r="S171" s="4"/>
      <c r="T171" s="4"/>
      <c r="U171" s="4"/>
      <c r="V171" s="4"/>
    </row>
    <row r="172" spans="1:22" ht="50">
      <c r="A172" s="11">
        <v>44958.041666666672</v>
      </c>
      <c r="B172" s="12" t="s">
        <v>32</v>
      </c>
      <c r="C172" s="12" t="s">
        <v>351</v>
      </c>
      <c r="D172" s="12" t="s">
        <v>352</v>
      </c>
      <c r="E172" s="13" t="str">
        <f>HYPERLINK("https://www.onperfekt.lu/about-3","On.perfekt")</f>
        <v>On.perfekt</v>
      </c>
      <c r="F172" s="16" t="str">
        <f>HYPERLINK("https://www.infogreen.lu/actions-antigaspi-20020.html","Info Green")</f>
        <v>Info Green</v>
      </c>
      <c r="G172" s="15"/>
      <c r="H172" s="15"/>
      <c r="I172" s="3"/>
      <c r="J172" s="4"/>
      <c r="K172" s="4"/>
      <c r="L172" s="4"/>
      <c r="M172" s="4"/>
      <c r="N172" s="4"/>
      <c r="O172" s="4"/>
      <c r="P172" s="4"/>
      <c r="Q172" s="4"/>
      <c r="R172" s="4"/>
      <c r="S172" s="4"/>
      <c r="T172" s="4"/>
      <c r="U172" s="4"/>
      <c r="V172" s="4"/>
    </row>
    <row r="173" spans="1:22" ht="62.5">
      <c r="A173" s="11">
        <v>44958.041666666672</v>
      </c>
      <c r="B173" s="12" t="s">
        <v>32</v>
      </c>
      <c r="C173" s="12" t="s">
        <v>353</v>
      </c>
      <c r="D173" s="12" t="s">
        <v>354</v>
      </c>
      <c r="E173" s="13" t="str">
        <f>HYPERLINK("https://www.circularonline.co.uk/news/new-circular-economy-toolkit-for-construction-industry-published/","UKGBC")</f>
        <v>UKGBC</v>
      </c>
      <c r="F173" s="14"/>
      <c r="G173" s="15"/>
      <c r="H173" s="15"/>
      <c r="I173" s="3"/>
      <c r="J173" s="4"/>
      <c r="K173" s="4"/>
      <c r="L173" s="4"/>
      <c r="M173" s="4"/>
      <c r="N173" s="4"/>
      <c r="O173" s="4"/>
      <c r="P173" s="4"/>
      <c r="Q173" s="4"/>
      <c r="R173" s="4"/>
      <c r="S173" s="4"/>
      <c r="T173" s="4"/>
      <c r="U173" s="4"/>
      <c r="V173" s="4"/>
    </row>
    <row r="174" spans="1:22" ht="75">
      <c r="A174" s="11">
        <v>44958.041666666672</v>
      </c>
      <c r="B174" s="12" t="s">
        <v>32</v>
      </c>
      <c r="C174" s="12" t="s">
        <v>355</v>
      </c>
      <c r="D174" s="12" t="s">
        <v>356</v>
      </c>
      <c r="E174" s="13" t="e">
        <f>HYPERLINK("https://ec.europa.eu/info/funding-tenders/opportunities/portal/screen/opportunities/topic-details/horizon-cl6-2023-circbio-02-1-two-stage;callCode=null;freeTextSearchKeyword=CircBio;matchWholeText=true;typeCodes=0,1,2,8;statusCodes=31094501,31094502;progr"&amp;"ammePeriod=null;programCcm2Id=null;programDivisionCode=null;focusAreaCode=null;destinationGroup=null;missionGroup=null;geographicalZonesCode=null;programmeDivisionProspect=null;startDateLte=null;startDateGte=null;crossCuttingPriorityCode=null;cpvCode=null"&amp;";performanceOfDelivery=null;sortQuery=sortStatus;orderBy=asc;onlyTenders=false;topicListKey=topicSearchTablePageState","European Commission")</f>
        <v>#VALUE!</v>
      </c>
      <c r="F174" s="16" t="str">
        <f>HYPERLINK("https://www.luxinnovation.lu/innovate-in-luxembourg/funding/horizon-europe-luxembourg/getting-ready-and-making-an-impact/","Luxinnovation")</f>
        <v>Luxinnovation</v>
      </c>
      <c r="G174" s="15"/>
      <c r="H174" s="15"/>
      <c r="I174" s="3"/>
      <c r="J174" s="4"/>
      <c r="K174" s="4"/>
      <c r="L174" s="4"/>
      <c r="M174" s="4"/>
      <c r="N174" s="4"/>
      <c r="O174" s="4"/>
      <c r="P174" s="4"/>
      <c r="Q174" s="4"/>
      <c r="R174" s="4"/>
      <c r="S174" s="4"/>
      <c r="T174" s="4"/>
      <c r="U174" s="4"/>
      <c r="V174" s="4"/>
    </row>
    <row r="175" spans="1:22" ht="100">
      <c r="A175" s="11">
        <v>44927.041666666672</v>
      </c>
      <c r="B175" s="12" t="s">
        <v>5</v>
      </c>
      <c r="C175" s="12" t="s">
        <v>357</v>
      </c>
      <c r="D175" s="12" t="s">
        <v>358</v>
      </c>
      <c r="E175" s="13" t="str">
        <f>HYPERLINK("https://www.infogreen.lu/la-lessive-qui-dit-non-a-la-pollution.html","Info Green")</f>
        <v>Info Green</v>
      </c>
      <c r="F175" s="16" t="str">
        <f>HYPERLINK("https://www.infogreen.lu/aider-les-restaurateurs-dans-la-mise-en-place-de-concepts-circulaires.html","Info Green")</f>
        <v>Info Green</v>
      </c>
      <c r="G175" s="15"/>
      <c r="H175" s="15"/>
      <c r="I175" s="3"/>
      <c r="J175" s="4"/>
      <c r="K175" s="4"/>
      <c r="L175" s="4"/>
      <c r="M175" s="4"/>
      <c r="N175" s="4"/>
      <c r="O175" s="4"/>
      <c r="P175" s="4"/>
      <c r="Q175" s="4"/>
      <c r="R175" s="4"/>
      <c r="S175" s="4"/>
      <c r="T175" s="4"/>
      <c r="U175" s="4"/>
      <c r="V175" s="4"/>
    </row>
    <row r="176" spans="1:22" ht="62.5">
      <c r="A176" s="11">
        <v>44927.041666666672</v>
      </c>
      <c r="B176" s="12" t="s">
        <v>5</v>
      </c>
      <c r="C176" s="12" t="s">
        <v>359</v>
      </c>
      <c r="D176" s="12" t="s">
        <v>360</v>
      </c>
      <c r="E176" s="13" t="str">
        <f>HYPERLINK("https://siliconcanals.com/news/startups/nornorm-anders-jepsen-circularity-office-furniture/","Silicon Canals")</f>
        <v>Silicon Canals</v>
      </c>
      <c r="F176" s="14"/>
      <c r="G176" s="15"/>
      <c r="H176" s="15"/>
      <c r="I176" s="3"/>
      <c r="J176" s="4"/>
      <c r="K176" s="4"/>
      <c r="L176" s="4"/>
      <c r="M176" s="4"/>
      <c r="N176" s="4"/>
      <c r="O176" s="4"/>
      <c r="P176" s="4"/>
      <c r="Q176" s="4"/>
      <c r="R176" s="4"/>
      <c r="S176" s="4"/>
      <c r="T176" s="4"/>
      <c r="U176" s="4"/>
      <c r="V176" s="4"/>
    </row>
    <row r="177" spans="1:22" ht="62.5">
      <c r="A177" s="11">
        <v>44927.041666666672</v>
      </c>
      <c r="B177" s="12" t="s">
        <v>14</v>
      </c>
      <c r="C177" s="12" t="s">
        <v>361</v>
      </c>
      <c r="D177" s="12" t="s">
        <v>362</v>
      </c>
      <c r="E177" s="13" t="str">
        <f>HYPERLINK("https://innovationorigins.com/en/a-new-type-of-thread-could-allow-the-creation-of-a-circular-economy-in-the-fashion-industry/","Innovation Origins")</f>
        <v>Innovation Origins</v>
      </c>
      <c r="F177" s="16" t="str">
        <f>HYPERLINK("https://resortecs.com/about-us/","Resortecs")</f>
        <v>Resortecs</v>
      </c>
      <c r="G177" s="15"/>
      <c r="H177" s="15"/>
      <c r="I177" s="3"/>
      <c r="J177" s="4"/>
      <c r="K177" s="4"/>
      <c r="L177" s="4"/>
      <c r="M177" s="4"/>
      <c r="N177" s="4"/>
      <c r="O177" s="4"/>
      <c r="P177" s="4"/>
      <c r="Q177" s="4"/>
      <c r="R177" s="4"/>
      <c r="S177" s="4"/>
      <c r="T177" s="4"/>
      <c r="U177" s="4"/>
      <c r="V177" s="4"/>
    </row>
    <row r="178" spans="1:22" ht="75">
      <c r="A178" s="11">
        <v>44927.041666666672</v>
      </c>
      <c r="B178" s="12" t="s">
        <v>14</v>
      </c>
      <c r="C178" s="12" t="s">
        <v>363</v>
      </c>
      <c r="D178" s="12" t="s">
        <v>364</v>
      </c>
      <c r="E178" s="13" t="str">
        <f>HYPERLINK("https://www.eu-startups.com/2022/11/harnessing-am-for-a-sustainable-circular-world-interview-with-the-founders-of-f3nice-sponsored/","EU Startups")</f>
        <v>EU Startups</v>
      </c>
      <c r="F178" s="14"/>
      <c r="G178" s="15"/>
      <c r="H178" s="15"/>
      <c r="I178" s="3"/>
      <c r="J178" s="4"/>
      <c r="K178" s="4"/>
      <c r="L178" s="4"/>
      <c r="M178" s="4"/>
      <c r="N178" s="4"/>
      <c r="O178" s="4"/>
      <c r="P178" s="4"/>
      <c r="Q178" s="4"/>
      <c r="R178" s="4"/>
      <c r="S178" s="4"/>
      <c r="T178" s="4"/>
      <c r="U178" s="4"/>
      <c r="V178" s="4"/>
    </row>
    <row r="179" spans="1:22" ht="62.5">
      <c r="A179" s="11">
        <v>44927.041666666672</v>
      </c>
      <c r="B179" s="12" t="s">
        <v>21</v>
      </c>
      <c r="C179" s="12" t="s">
        <v>365</v>
      </c>
      <c r="D179" s="12" t="s">
        <v>366</v>
      </c>
      <c r="E179" s="13" t="str">
        <f>HYPERLINK("https://www.cuantec.com/post/wood-and-cuantec-to-accelerate-circular-economy-solutions-in-the-uk","CuanTec")</f>
        <v>CuanTec</v>
      </c>
      <c r="F179" s="14"/>
      <c r="G179" s="15"/>
      <c r="H179" s="15"/>
      <c r="I179" s="3"/>
      <c r="J179" s="4"/>
      <c r="K179" s="4"/>
      <c r="L179" s="4"/>
      <c r="M179" s="4"/>
      <c r="N179" s="4"/>
      <c r="O179" s="4"/>
      <c r="P179" s="4"/>
      <c r="Q179" s="4"/>
      <c r="R179" s="4"/>
      <c r="S179" s="4"/>
      <c r="T179" s="4"/>
      <c r="U179" s="4"/>
      <c r="V179" s="4"/>
    </row>
    <row r="180" spans="1:22" ht="50">
      <c r="A180" s="11">
        <v>44927.041666666672</v>
      </c>
      <c r="B180" s="12" t="s">
        <v>21</v>
      </c>
      <c r="C180" s="12" t="s">
        <v>367</v>
      </c>
      <c r="D180" s="12" t="s">
        <v>368</v>
      </c>
      <c r="E180" s="13" t="str">
        <f>HYPERLINK("https://www.euronews.com/green/2022/12/29/circular-economy-human-hair-recycled-to-clean-waterways-in-belgium","Euronews")</f>
        <v>Euronews</v>
      </c>
      <c r="F180" s="16" t="str">
        <f>HYPERLINK("https://coiffeurs-justes.com","Coiffeurs Justes")</f>
        <v>Coiffeurs Justes</v>
      </c>
      <c r="G180" s="15"/>
      <c r="H180" s="15"/>
      <c r="I180" s="3"/>
      <c r="J180" s="4"/>
      <c r="K180" s="4"/>
      <c r="L180" s="4"/>
      <c r="M180" s="4"/>
      <c r="N180" s="4"/>
      <c r="O180" s="4"/>
      <c r="P180" s="4"/>
      <c r="Q180" s="4"/>
      <c r="R180" s="4"/>
      <c r="S180" s="4"/>
      <c r="T180" s="4"/>
      <c r="U180" s="4"/>
      <c r="V180" s="4"/>
    </row>
    <row r="181" spans="1:22" ht="62.5">
      <c r="A181" s="11">
        <v>44927.041666666672</v>
      </c>
      <c r="B181" s="12" t="s">
        <v>21</v>
      </c>
      <c r="C181" s="12" t="s">
        <v>369</v>
      </c>
      <c r="D181" s="12" t="s">
        <v>370</v>
      </c>
      <c r="E181" s="13" t="str">
        <f>HYPERLINK("https://www.usda.gov/media/press-releases/2022/12/20/usda-invests-95m-develop-new-bioproducts-agricultural-commodities","USDA")</f>
        <v>USDA</v>
      </c>
      <c r="F181" s="16" t="str">
        <f>HYPERLINK("https://www.nifa.usda.gov/grants/programs/bioproduct-pilot-program","NIFA USDA")</f>
        <v>NIFA USDA</v>
      </c>
      <c r="G181" s="15"/>
      <c r="H181" s="15"/>
      <c r="I181" s="3"/>
      <c r="J181" s="4"/>
      <c r="K181" s="4"/>
      <c r="L181" s="4"/>
      <c r="M181" s="4"/>
      <c r="N181" s="4"/>
      <c r="O181" s="4"/>
      <c r="P181" s="4"/>
      <c r="Q181" s="4"/>
      <c r="R181" s="4"/>
      <c r="S181" s="4"/>
      <c r="T181" s="4"/>
      <c r="U181" s="4"/>
      <c r="V181" s="4"/>
    </row>
    <row r="182" spans="1:22" ht="62.5">
      <c r="A182" s="11">
        <v>44927.041666666672</v>
      </c>
      <c r="B182" s="12" t="s">
        <v>24</v>
      </c>
      <c r="C182" s="12" t="s">
        <v>371</v>
      </c>
      <c r="D182" s="12" t="s">
        <v>372</v>
      </c>
      <c r="E182" s="13" t="str">
        <f>HYPERLINK("https://environnement.public.lu/fr/actualites/2023/01/dechts-23.html","Luxembourg government")</f>
        <v>Luxembourg government</v>
      </c>
      <c r="F182" s="14"/>
      <c r="G182" s="15"/>
      <c r="H182" s="15"/>
      <c r="I182" s="3"/>
      <c r="J182" s="4"/>
      <c r="K182" s="4"/>
      <c r="L182" s="4"/>
      <c r="M182" s="4"/>
      <c r="N182" s="4"/>
      <c r="O182" s="4"/>
      <c r="P182" s="4"/>
      <c r="Q182" s="4"/>
      <c r="R182" s="4"/>
      <c r="S182" s="4"/>
      <c r="T182" s="4"/>
      <c r="U182" s="4"/>
      <c r="V182" s="4"/>
    </row>
    <row r="183" spans="1:22" ht="62.5">
      <c r="A183" s="11">
        <v>44927.041666666672</v>
      </c>
      <c r="B183" s="12" t="s">
        <v>24</v>
      </c>
      <c r="C183" s="12" t="s">
        <v>373</v>
      </c>
      <c r="D183" s="12" t="s">
        <v>374</v>
      </c>
      <c r="E183" s="13" t="str">
        <f>HYPERLINK("https://www.oecd-ilibrary.org/docserver/e8bb5c6e-en.pdf?expires=1673094139&amp;id=id&amp;accname=guest&amp;checksum=1748F5EF3AB1C89AF47B500B24378D55","OECD")</f>
        <v>OECD</v>
      </c>
      <c r="F183" s="14"/>
      <c r="G183" s="15"/>
      <c r="H183" s="15"/>
      <c r="I183" s="3"/>
      <c r="J183" s="4"/>
      <c r="K183" s="4"/>
      <c r="L183" s="4"/>
      <c r="M183" s="4"/>
      <c r="N183" s="4"/>
      <c r="O183" s="4"/>
      <c r="P183" s="4"/>
      <c r="Q183" s="4"/>
      <c r="R183" s="4"/>
      <c r="S183" s="4"/>
      <c r="T183" s="4"/>
      <c r="U183" s="4"/>
      <c r="V183" s="4"/>
    </row>
    <row r="184" spans="1:22" ht="50">
      <c r="A184" s="11">
        <v>44927.041666666672</v>
      </c>
      <c r="B184" s="12" t="s">
        <v>24</v>
      </c>
      <c r="C184" s="12" t="s">
        <v>375</v>
      </c>
      <c r="D184" s="12" t="s">
        <v>376</v>
      </c>
      <c r="E184" s="13" t="str">
        <f>HYPERLINK("https://apparelinsider.com/france-moves-first-on-eco-label-regulations/","Apparel Insider")</f>
        <v>Apparel Insider</v>
      </c>
      <c r="F184" s="16" t="str">
        <f>HYPERLINK("https://www.arbor.eco/blog/climate-impact-labels-are-launching-in-france-is-your-brand-ready","Arbor Eco")</f>
        <v>Arbor Eco</v>
      </c>
      <c r="G184" s="15"/>
      <c r="H184" s="15"/>
      <c r="I184" s="3"/>
      <c r="J184" s="4"/>
      <c r="K184" s="4"/>
      <c r="L184" s="4"/>
      <c r="M184" s="4"/>
      <c r="N184" s="4"/>
      <c r="O184" s="4"/>
      <c r="P184" s="4"/>
      <c r="Q184" s="4"/>
      <c r="R184" s="4"/>
      <c r="S184" s="4"/>
      <c r="T184" s="4"/>
      <c r="U184" s="4"/>
      <c r="V184" s="4"/>
    </row>
    <row r="185" spans="1:22" ht="50">
      <c r="A185" s="11">
        <v>44927.041666666672</v>
      </c>
      <c r="B185" s="12" t="s">
        <v>29</v>
      </c>
      <c r="C185" s="12" t="s">
        <v>377</v>
      </c>
      <c r="D185" s="12" t="s">
        <v>378</v>
      </c>
      <c r="E185" s="13" t="str">
        <f>HYPERLINK("https://ec.europa.eu/commission/presscorner/detail/en/IP_22_7629","European Commission")</f>
        <v>European Commission</v>
      </c>
      <c r="F185" s="14"/>
      <c r="G185" s="15"/>
      <c r="H185" s="15"/>
      <c r="I185" s="3"/>
      <c r="J185" s="4"/>
      <c r="K185" s="4"/>
      <c r="L185" s="4"/>
      <c r="M185" s="4"/>
      <c r="N185" s="4"/>
      <c r="O185" s="4"/>
      <c r="P185" s="4"/>
      <c r="Q185" s="4"/>
      <c r="R185" s="4"/>
      <c r="S185" s="4"/>
      <c r="T185" s="4"/>
      <c r="U185" s="4"/>
      <c r="V185" s="4"/>
    </row>
    <row r="186" spans="1:22" ht="50">
      <c r="A186" s="11">
        <v>44927.041666666672</v>
      </c>
      <c r="B186" s="12" t="s">
        <v>29</v>
      </c>
      <c r="C186" s="12" t="s">
        <v>379</v>
      </c>
      <c r="D186" s="12" t="s">
        <v>380</v>
      </c>
      <c r="E186" s="13" t="str">
        <f>HYPERLINK("https://www.gsam.com/content/gsam/us/en/institutions/about-gsam/news-and-media/2023/Horizon-Environment-and-Climate-Solutions.html","Goldman Sachs")</f>
        <v>Goldman Sachs</v>
      </c>
      <c r="F186" s="14"/>
      <c r="G186" s="15"/>
      <c r="H186" s="15"/>
      <c r="I186" s="3"/>
      <c r="J186" s="4"/>
      <c r="K186" s="4"/>
      <c r="L186" s="4"/>
      <c r="M186" s="4"/>
      <c r="N186" s="4"/>
      <c r="O186" s="4"/>
      <c r="P186" s="4"/>
      <c r="Q186" s="4"/>
      <c r="R186" s="4"/>
      <c r="S186" s="4"/>
      <c r="T186" s="4"/>
      <c r="U186" s="4"/>
      <c r="V186" s="4"/>
    </row>
    <row r="187" spans="1:22" ht="50">
      <c r="A187" s="11">
        <v>44927.041666666672</v>
      </c>
      <c r="B187" s="12" t="s">
        <v>32</v>
      </c>
      <c r="C187" s="12" t="s">
        <v>381</v>
      </c>
      <c r="D187" s="12" t="s">
        <v>382</v>
      </c>
      <c r="E187" s="13" t="str">
        <f>HYPERLINK("https://www.infogreen.lu/les-enjeux-de-l-economie-circulaire.html","Info Green")</f>
        <v>Info Green</v>
      </c>
      <c r="F187" s="14"/>
      <c r="G187" s="15"/>
      <c r="H187" s="15"/>
      <c r="I187" s="3"/>
      <c r="J187" s="4"/>
      <c r="K187" s="4"/>
      <c r="L187" s="4"/>
      <c r="M187" s="4"/>
      <c r="N187" s="4"/>
      <c r="O187" s="4"/>
      <c r="P187" s="4"/>
      <c r="Q187" s="4"/>
      <c r="R187" s="4"/>
      <c r="S187" s="4"/>
      <c r="T187" s="4"/>
      <c r="U187" s="4"/>
      <c r="V187" s="4"/>
    </row>
    <row r="188" spans="1:22" ht="50">
      <c r="A188" s="11">
        <v>44927.041666666672</v>
      </c>
      <c r="B188" s="12" t="s">
        <v>32</v>
      </c>
      <c r="C188" s="12" t="s">
        <v>383</v>
      </c>
      <c r="D188" s="12" t="s">
        <v>384</v>
      </c>
      <c r="E188" s="13" t="e">
        <f>HYPERLINK("https://circulareconomy.europa.eu/platform/en/news-and-events/all-news/save-date-annual-conference-2023-recovery-open-strategic-autonomy-and-resilience?_cldee=xvDRnTl9cF4_NgUR5cLhZqiWVN8E5wQIwTB60rQvuFSmTm_W79KjbFg6bLz0qtCJ2aF8cbfLzP7F6F9V1qku9w&amp;recipient"&amp;"id=contact-df1a0e58a961ec118123005056a033d5-42a2f3f351624571af412c0023e9e608&amp;esid=b46c0038-7b7f-ed11-8123-005056a043ea","Circular Economy")</f>
        <v>#VALUE!</v>
      </c>
      <c r="F188" s="14"/>
      <c r="G188" s="15"/>
      <c r="H188" s="15"/>
      <c r="I188" s="3"/>
      <c r="J188" s="4"/>
      <c r="K188" s="4"/>
      <c r="L188" s="4"/>
      <c r="M188" s="4"/>
      <c r="N188" s="4"/>
      <c r="O188" s="4"/>
      <c r="P188" s="4"/>
      <c r="Q188" s="4"/>
      <c r="R188" s="4"/>
      <c r="S188" s="4"/>
      <c r="T188" s="4"/>
      <c r="U188" s="4"/>
      <c r="V188" s="4"/>
    </row>
    <row r="189" spans="1:22" ht="37.5">
      <c r="A189" s="11">
        <v>44927.041666666672</v>
      </c>
      <c r="B189" s="12" t="s">
        <v>32</v>
      </c>
      <c r="C189" s="12" t="s">
        <v>385</v>
      </c>
      <c r="D189" s="12" t="s">
        <v>386</v>
      </c>
      <c r="E189" s="13" t="str">
        <f>HYPERLINK("https://www.ukgbc.org/events/system-enablers-for-a-circular-economy-report-launch/","UKBC")</f>
        <v>UKBC</v>
      </c>
      <c r="F189" s="14"/>
      <c r="G189" s="15"/>
      <c r="H189" s="15"/>
      <c r="I189" s="3"/>
      <c r="J189" s="4"/>
      <c r="K189" s="4"/>
      <c r="L189" s="4"/>
      <c r="M189" s="4"/>
      <c r="N189" s="4"/>
      <c r="O189" s="4"/>
      <c r="P189" s="4"/>
      <c r="Q189" s="4"/>
      <c r="R189" s="4"/>
      <c r="S189" s="4"/>
      <c r="T189" s="4"/>
      <c r="U189" s="4"/>
      <c r="V189" s="4"/>
    </row>
    <row r="190" spans="1:22" ht="62.5">
      <c r="A190" s="11">
        <v>44927.041666666672</v>
      </c>
      <c r="B190" s="12" t="s">
        <v>32</v>
      </c>
      <c r="C190" s="12" t="s">
        <v>387</v>
      </c>
      <c r="D190" s="12" t="s">
        <v>388</v>
      </c>
      <c r="E190" s="13" t="str">
        <f>HYPERLINK("https://www.scientificamerican.com/collection/nature-outlook-circular-economy/","Scientific American")</f>
        <v>Scientific American</v>
      </c>
      <c r="F190" s="14"/>
      <c r="G190" s="15"/>
      <c r="H190" s="15"/>
      <c r="I190" s="3"/>
      <c r="J190" s="4"/>
      <c r="K190" s="4"/>
      <c r="L190" s="4"/>
      <c r="M190" s="4"/>
      <c r="N190" s="4"/>
      <c r="O190" s="4"/>
      <c r="P190" s="4"/>
      <c r="Q190" s="4"/>
      <c r="R190" s="4"/>
      <c r="S190" s="4"/>
      <c r="T190" s="4"/>
      <c r="U190" s="4"/>
      <c r="V190" s="4"/>
    </row>
    <row r="191" spans="1:22" ht="62.5">
      <c r="A191" s="11">
        <v>44927.041666666672</v>
      </c>
      <c r="B191" s="12" t="s">
        <v>32</v>
      </c>
      <c r="C191" s="12" t="s">
        <v>389</v>
      </c>
      <c r="D191" s="12" t="s">
        <v>390</v>
      </c>
      <c r="E191" s="13" t="str">
        <f>HYPERLINK("https://www.prnewswire.com/news-releases/registration-opens-for-remade-circular-economy-tech-summit--conference-301707553.html","REMADE Institute")</f>
        <v>REMADE Institute</v>
      </c>
      <c r="F191" s="14"/>
      <c r="G191" s="15"/>
      <c r="H191" s="15"/>
      <c r="I191" s="3"/>
      <c r="J191" s="4"/>
      <c r="K191" s="4"/>
      <c r="L191" s="4"/>
      <c r="M191" s="4"/>
      <c r="N191" s="4"/>
      <c r="O191" s="4"/>
      <c r="P191" s="4"/>
      <c r="Q191" s="4"/>
      <c r="R191" s="4"/>
      <c r="S191" s="4"/>
      <c r="T191" s="4"/>
      <c r="U191" s="4"/>
      <c r="V191" s="4"/>
    </row>
    <row r="192" spans="1:22" ht="62.5">
      <c r="A192" s="11">
        <v>44896.041666666672</v>
      </c>
      <c r="B192" s="12" t="s">
        <v>5</v>
      </c>
      <c r="C192" s="12" t="s">
        <v>391</v>
      </c>
      <c r="D192" s="12" t="s">
        <v>392</v>
      </c>
      <c r="E192" s="13" t="str">
        <f>HYPERLINK("https://www.consultancy.uk/news/32963/circular-strategies-could-cut-automotive-industry-emissions-by-two-thirds","Consultancy UK")</f>
        <v>Consultancy UK</v>
      </c>
      <c r="F192" s="14"/>
      <c r="G192" s="15"/>
      <c r="H192" s="15"/>
      <c r="I192" s="3"/>
      <c r="J192" s="4"/>
      <c r="K192" s="4"/>
      <c r="L192" s="4"/>
      <c r="M192" s="4"/>
      <c r="N192" s="4"/>
      <c r="O192" s="4"/>
      <c r="P192" s="4"/>
      <c r="Q192" s="4"/>
      <c r="R192" s="4"/>
      <c r="S192" s="4"/>
      <c r="T192" s="4"/>
      <c r="U192" s="4"/>
      <c r="V192" s="4"/>
    </row>
    <row r="193" spans="1:22" ht="62.5">
      <c r="A193" s="11">
        <v>44896.041666666672</v>
      </c>
      <c r="B193" s="12" t="s">
        <v>5</v>
      </c>
      <c r="C193" s="12" t="s">
        <v>393</v>
      </c>
      <c r="D193" s="12" t="s">
        <v>394</v>
      </c>
      <c r="E193" s="13" t="str">
        <f>HYPERLINK("https://www.infogreen.lu/tapis-rouge-pour-l-economie-circulaire-19831.html","Info Green")</f>
        <v>Info Green</v>
      </c>
      <c r="F193" s="14"/>
      <c r="G193" s="15"/>
      <c r="H193" s="15"/>
      <c r="I193" s="3"/>
      <c r="J193" s="4"/>
      <c r="K193" s="4"/>
      <c r="L193" s="4"/>
      <c r="M193" s="4"/>
      <c r="N193" s="4"/>
      <c r="O193" s="4"/>
      <c r="P193" s="4"/>
      <c r="Q193" s="4"/>
      <c r="R193" s="4"/>
      <c r="S193" s="4"/>
      <c r="T193" s="4"/>
      <c r="U193" s="4"/>
      <c r="V193" s="4"/>
    </row>
    <row r="194" spans="1:22" ht="75">
      <c r="A194" s="11">
        <v>44896.041666666672</v>
      </c>
      <c r="B194" s="12" t="s">
        <v>14</v>
      </c>
      <c r="C194" s="12" t="s">
        <v>395</v>
      </c>
      <c r="D194" s="12" t="s">
        <v>396</v>
      </c>
      <c r="E194" s="13" t="str">
        <f>HYPERLINK("https://www.chemeurope.com/en/news/1178745/covestro-turns-to-biotechnology-for-sustainable-plastics.html","Chem Europe")</f>
        <v>Chem Europe</v>
      </c>
      <c r="F194" s="14"/>
      <c r="G194" s="15"/>
      <c r="H194" s="15"/>
      <c r="I194" s="3"/>
      <c r="J194" s="4"/>
      <c r="K194" s="4"/>
      <c r="L194" s="4"/>
      <c r="M194" s="4"/>
      <c r="N194" s="4"/>
      <c r="O194" s="4"/>
      <c r="P194" s="4"/>
      <c r="Q194" s="4"/>
      <c r="R194" s="4"/>
      <c r="S194" s="4"/>
      <c r="T194" s="4"/>
      <c r="U194" s="4"/>
      <c r="V194" s="4"/>
    </row>
    <row r="195" spans="1:22" ht="62.5">
      <c r="A195" s="11">
        <v>44896.041666666672</v>
      </c>
      <c r="B195" s="12" t="s">
        <v>14</v>
      </c>
      <c r="C195" s="12" t="s">
        <v>397</v>
      </c>
      <c r="D195" s="12" t="s">
        <v>398</v>
      </c>
      <c r="E195" s="13" t="str">
        <f>HYPERLINK("https://www.ecologie.gouv.fr/france-2030-nouvel-appel-projets-soutenir-recyclage-mecanique-des-plastiques-et-lincorporation","French government")</f>
        <v>French government</v>
      </c>
      <c r="F195" s="14"/>
      <c r="G195" s="15"/>
      <c r="H195" s="15"/>
      <c r="I195" s="3"/>
      <c r="J195" s="4"/>
      <c r="K195" s="4"/>
      <c r="L195" s="4"/>
      <c r="M195" s="4"/>
      <c r="N195" s="4"/>
      <c r="O195" s="4"/>
      <c r="P195" s="4"/>
      <c r="Q195" s="4"/>
      <c r="R195" s="4"/>
      <c r="S195" s="4"/>
      <c r="T195" s="4"/>
      <c r="U195" s="4"/>
      <c r="V195" s="4"/>
    </row>
    <row r="196" spans="1:22" ht="75">
      <c r="A196" s="11">
        <v>44896.041666666672</v>
      </c>
      <c r="B196" s="12" t="s">
        <v>21</v>
      </c>
      <c r="C196" s="12" t="s">
        <v>399</v>
      </c>
      <c r="D196" s="12" t="s">
        <v>400</v>
      </c>
      <c r="E196" s="13" t="str">
        <f>HYPERLINK("https://ec.europa.eu/commission/presscorner/detail/en/ip_22_6899","European Commission")</f>
        <v>European Commission</v>
      </c>
      <c r="F196" s="16" t="str">
        <f>HYPERLINK("https://www.eitfood.eu/news/eit-food-welcomes-publication-of-eu-algae-initiative-a-step-forward-towards-a-more-sustainable-food-system","EIT Food")</f>
        <v>EIT Food</v>
      </c>
      <c r="G196" s="15"/>
      <c r="H196" s="15"/>
      <c r="I196" s="3"/>
      <c r="J196" s="4"/>
      <c r="K196" s="4"/>
      <c r="L196" s="4"/>
      <c r="M196" s="4"/>
      <c r="N196" s="4"/>
      <c r="O196" s="4"/>
      <c r="P196" s="4"/>
      <c r="Q196" s="4"/>
      <c r="R196" s="4"/>
      <c r="S196" s="4"/>
      <c r="T196" s="4"/>
      <c r="U196" s="4"/>
      <c r="V196" s="4"/>
    </row>
    <row r="197" spans="1:22" ht="87.5">
      <c r="A197" s="11">
        <v>44896.041666666672</v>
      </c>
      <c r="B197" s="12" t="s">
        <v>21</v>
      </c>
      <c r="C197" s="12" t="s">
        <v>401</v>
      </c>
      <c r="D197" s="12" t="s">
        <v>402</v>
      </c>
      <c r="E197" s="13" t="str">
        <f>HYPERLINK("https://www.feednavigator.com/Article/2022/11/09/Estonian-insect-farming-startup-flying-high","Feed Navigator")</f>
        <v>Feed Navigator</v>
      </c>
      <c r="F197" s="16" t="str">
        <f>HYPERLINK("https://www.treehugger.com/world-largest-insect-farm-france-6751326","Treehugger")</f>
        <v>Treehugger</v>
      </c>
      <c r="G197" s="17" t="str">
        <f>HYPERLINK("https://earth.org/insect-farming/","Earth.org")</f>
        <v>Earth.org</v>
      </c>
      <c r="H197" s="15"/>
      <c r="I197" s="3"/>
      <c r="J197" s="4"/>
      <c r="K197" s="4"/>
      <c r="L197" s="4"/>
      <c r="M197" s="4"/>
      <c r="N197" s="4"/>
      <c r="O197" s="4"/>
      <c r="P197" s="4"/>
      <c r="Q197" s="4"/>
      <c r="R197" s="4"/>
      <c r="S197" s="4"/>
      <c r="T197" s="4"/>
      <c r="U197" s="4"/>
      <c r="V197" s="4"/>
    </row>
    <row r="198" spans="1:22" ht="87.5">
      <c r="A198" s="11">
        <v>44896.041666666672</v>
      </c>
      <c r="B198" s="12" t="s">
        <v>24</v>
      </c>
      <c r="C198" s="12" t="s">
        <v>403</v>
      </c>
      <c r="D198" s="12" t="s">
        <v>404</v>
      </c>
      <c r="E198" s="13" t="str">
        <f>HYPERLINK("https://eeb.org/only-two-files-remaining-in-a-meager-circular-economy-package/","EEB")</f>
        <v>EEB</v>
      </c>
      <c r="F198" s="16" t="str">
        <f>HYPERLINK("https://www.politico.eu/article/4-things-to-know-about-the-eus-push-to-cut-packaging-waste/","Politico")</f>
        <v>Politico</v>
      </c>
      <c r="G198" s="17" t="str">
        <f>HYPERLINK("https://ec.europa.eu/commission/presscorner/detail/en/SPEECH_22_7323","European Commission")</f>
        <v>European Commission</v>
      </c>
      <c r="H198" s="19" t="str">
        <f>HYPERLINK("https://ec.europa.eu/commission/presscorner/detail/en/ip_22_7155","European Commission")</f>
        <v>European Commission</v>
      </c>
      <c r="I198" s="3"/>
      <c r="J198" s="4"/>
      <c r="K198" s="4"/>
      <c r="L198" s="4"/>
      <c r="M198" s="4"/>
      <c r="N198" s="4"/>
      <c r="O198" s="4"/>
      <c r="P198" s="4"/>
      <c r="Q198" s="4"/>
      <c r="R198" s="4"/>
      <c r="S198" s="4"/>
      <c r="T198" s="4"/>
      <c r="U198" s="4"/>
      <c r="V198" s="4"/>
    </row>
    <row r="199" spans="1:22" ht="87.5">
      <c r="A199" s="11">
        <v>44896.041666666672</v>
      </c>
      <c r="B199" s="12" t="s">
        <v>24</v>
      </c>
      <c r="C199" s="12" t="s">
        <v>405</v>
      </c>
      <c r="D199" s="12" t="s">
        <v>406</v>
      </c>
      <c r="E199" s="13" t="str">
        <f>HYPERLINK("https://paperjam.lu/article/op-heidert-eco-lotissement-aut","Paperjam")</f>
        <v>Paperjam</v>
      </c>
      <c r="F199" s="16" t="str">
        <f>HYPERLINK("https://www.infogreen.lu/wunne-mat-der-wooltz-demarrage-des-travaux.html","Info Green")</f>
        <v>Info Green</v>
      </c>
      <c r="G199" s="15"/>
      <c r="H199" s="15"/>
      <c r="I199" s="3"/>
      <c r="J199" s="4"/>
      <c r="K199" s="4"/>
      <c r="L199" s="4"/>
      <c r="M199" s="4"/>
      <c r="N199" s="4"/>
      <c r="O199" s="4"/>
      <c r="P199" s="4"/>
      <c r="Q199" s="4"/>
      <c r="R199" s="4"/>
      <c r="S199" s="4"/>
      <c r="T199" s="4"/>
      <c r="U199" s="4"/>
      <c r="V199" s="4"/>
    </row>
    <row r="200" spans="1:22" ht="50">
      <c r="A200" s="11">
        <v>44896.041666666672</v>
      </c>
      <c r="B200" s="12" t="s">
        <v>29</v>
      </c>
      <c r="C200" s="12" t="s">
        <v>407</v>
      </c>
      <c r="D200" s="12" t="s">
        <v>408</v>
      </c>
      <c r="E200" s="13" t="str">
        <f>HYPERLINK("https://tech.eu/2022/11/17/looking-to-scale/","Tech EU")</f>
        <v>Tech EU</v>
      </c>
      <c r="F200" s="16" t="str">
        <f>HYPERLINK("https://www.euractiv.com/section/circular-economy/interview/tech-start-up-blockchain-is-ideal-tool-for-circular-economy/","Euractiv")</f>
        <v>Euractiv</v>
      </c>
      <c r="G200" s="15"/>
      <c r="H200" s="15"/>
      <c r="I200" s="3"/>
      <c r="J200" s="4"/>
      <c r="K200" s="4"/>
      <c r="L200" s="4"/>
      <c r="M200" s="4"/>
      <c r="N200" s="4"/>
      <c r="O200" s="4"/>
      <c r="P200" s="4"/>
      <c r="Q200" s="4"/>
      <c r="R200" s="4"/>
      <c r="S200" s="4"/>
      <c r="T200" s="4"/>
      <c r="U200" s="4"/>
      <c r="V200" s="4"/>
    </row>
    <row r="201" spans="1:22" ht="87.5">
      <c r="A201" s="11">
        <v>44896.041666666672</v>
      </c>
      <c r="B201" s="12" t="s">
        <v>29</v>
      </c>
      <c r="C201" s="12" t="s">
        <v>409</v>
      </c>
      <c r="D201" s="12" t="s">
        <v>410</v>
      </c>
      <c r="E201" s="13" t="str">
        <f>HYPERLINK("https://greenovate-europe.eu/investcec-project-launched-to-unlock-financing-for-the-circular-economy/","Greenovate Europe")</f>
        <v>Greenovate Europe</v>
      </c>
      <c r="F201" s="14"/>
      <c r="G201" s="15"/>
      <c r="H201" s="15"/>
      <c r="I201" s="3"/>
      <c r="J201" s="4"/>
      <c r="K201" s="4"/>
      <c r="L201" s="4"/>
      <c r="M201" s="4"/>
      <c r="N201" s="4"/>
      <c r="O201" s="4"/>
      <c r="P201" s="4"/>
      <c r="Q201" s="4"/>
      <c r="R201" s="4"/>
      <c r="S201" s="4"/>
      <c r="T201" s="4"/>
      <c r="U201" s="4"/>
      <c r="V201" s="4"/>
    </row>
    <row r="202" spans="1:22" ht="62.5">
      <c r="A202" s="11">
        <v>44896.041666666672</v>
      </c>
      <c r="B202" s="12" t="s">
        <v>29</v>
      </c>
      <c r="C202" s="12" t="s">
        <v>411</v>
      </c>
      <c r="D202" s="12" t="s">
        <v>412</v>
      </c>
      <c r="E202" s="13" t="str">
        <f>HYPERLINK("https://www.eu-startups.com/2022/11/paris-based-yeasty-brews-up-e1-4-million-for-its-alt-protein-source/","EU Start-ups")</f>
        <v>EU Start-ups</v>
      </c>
      <c r="F202" s="14"/>
      <c r="G202" s="15"/>
      <c r="H202" s="15"/>
      <c r="I202" s="3"/>
      <c r="J202" s="4"/>
      <c r="K202" s="4"/>
      <c r="L202" s="4"/>
      <c r="M202" s="4"/>
      <c r="N202" s="4"/>
      <c r="O202" s="4"/>
      <c r="P202" s="4"/>
      <c r="Q202" s="4"/>
      <c r="R202" s="4"/>
      <c r="S202" s="4"/>
      <c r="T202" s="4"/>
      <c r="U202" s="4"/>
      <c r="V202" s="4"/>
    </row>
    <row r="203" spans="1:22" ht="87.5">
      <c r="A203" s="11">
        <v>44896.041666666672</v>
      </c>
      <c r="B203" s="12" t="s">
        <v>32</v>
      </c>
      <c r="C203" s="12" t="s">
        <v>413</v>
      </c>
      <c r="D203" s="12" t="s">
        <v>414</v>
      </c>
      <c r="E203" s="13" t="str">
        <f>HYPERLINK("https://www.luxinnovation.lu/cbdc/","Luxinnovation")</f>
        <v>Luxinnovation</v>
      </c>
      <c r="F203" s="14"/>
      <c r="G203" s="15"/>
      <c r="H203" s="15"/>
      <c r="I203" s="3"/>
      <c r="J203" s="4"/>
      <c r="K203" s="4"/>
      <c r="L203" s="4"/>
      <c r="M203" s="4"/>
      <c r="N203" s="4"/>
      <c r="O203" s="4"/>
      <c r="P203" s="4"/>
      <c r="Q203" s="4"/>
      <c r="R203" s="4"/>
      <c r="S203" s="4"/>
      <c r="T203" s="4"/>
      <c r="U203" s="4"/>
      <c r="V203" s="4"/>
    </row>
    <row r="204" spans="1:22" ht="100">
      <c r="A204" s="11">
        <v>44896.041666666672</v>
      </c>
      <c r="B204" s="12" t="s">
        <v>32</v>
      </c>
      <c r="C204" s="12" t="s">
        <v>415</v>
      </c>
      <c r="D204" s="12" t="s">
        <v>416</v>
      </c>
      <c r="E204" s="13" t="str">
        <f>HYPERLINK("https://ellenmacarthurfoundation.org/articles/cop27-key-takeaways","Ellen MacArthur Foundation")</f>
        <v>Ellen MacArthur Foundation</v>
      </c>
      <c r="F204" s="16" t="str">
        <f>HYPERLINK("https://www.circle-economy.com/news/circle-economy-presents-ways-to-tackle-climate-change-through-the-circular-economy-at-cop27","Circle Economy")</f>
        <v>Circle Economy</v>
      </c>
      <c r="G204" s="17" t="str">
        <f>HYPERLINK("https://media.un.org/en/asset/k1z/k1z0npedmy","United Nations")</f>
        <v>United Nations</v>
      </c>
      <c r="H204" s="19" t="str">
        <f>HYPERLINK("https://theogm.com/2022/11/10/new-digital-marketplace-launched-to-support-canadas-road-to-circular-economy/","The OGM")</f>
        <v>The OGM</v>
      </c>
      <c r="I204" s="3"/>
      <c r="J204" s="4"/>
      <c r="K204" s="4"/>
      <c r="L204" s="4"/>
      <c r="M204" s="4"/>
      <c r="N204" s="4"/>
      <c r="O204" s="4"/>
      <c r="P204" s="4"/>
      <c r="Q204" s="4"/>
      <c r="R204" s="4"/>
      <c r="S204" s="4"/>
      <c r="T204" s="4"/>
      <c r="U204" s="4"/>
      <c r="V204" s="4"/>
    </row>
    <row r="205" spans="1:22" ht="50">
      <c r="A205" s="11">
        <v>44896.041666666672</v>
      </c>
      <c r="B205" s="12" t="s">
        <v>32</v>
      </c>
      <c r="C205" s="12" t="s">
        <v>417</v>
      </c>
      <c r="D205" s="12" t="s">
        <v>418</v>
      </c>
      <c r="E205" s="13" t="str">
        <f>HYPERLINK("https://www.wcef2022.com/programme/","WCEF")</f>
        <v>WCEF</v>
      </c>
      <c r="F205" s="14"/>
      <c r="G205" s="15"/>
      <c r="H205" s="15"/>
      <c r="I205" s="3"/>
      <c r="J205" s="4"/>
      <c r="K205" s="4"/>
      <c r="L205" s="4"/>
      <c r="M205" s="4"/>
      <c r="N205" s="4"/>
      <c r="O205" s="4"/>
      <c r="P205" s="4"/>
      <c r="Q205" s="4"/>
      <c r="R205" s="4"/>
      <c r="S205" s="4"/>
      <c r="T205" s="4"/>
      <c r="U205" s="4"/>
      <c r="V205" s="4"/>
    </row>
    <row r="206" spans="1:22" ht="62.5">
      <c r="A206" s="11">
        <v>44896.041666666672</v>
      </c>
      <c r="B206" s="12" t="s">
        <v>32</v>
      </c>
      <c r="C206" s="12" t="s">
        <v>419</v>
      </c>
      <c r="D206" s="12" t="s">
        <v>420</v>
      </c>
      <c r="E206" s="13" t="str">
        <f>HYPERLINK("https://www.architecture.com/explore-architecture/exhibitions/Long-Life-Low-Energy","RIBA")</f>
        <v>RIBA</v>
      </c>
      <c r="F206" s="14"/>
      <c r="G206" s="15"/>
      <c r="H206" s="15"/>
      <c r="I206" s="3"/>
      <c r="J206" s="4"/>
      <c r="K206" s="4"/>
      <c r="L206" s="4"/>
      <c r="M206" s="4"/>
      <c r="N206" s="4"/>
      <c r="O206" s="4"/>
      <c r="P206" s="4"/>
      <c r="Q206" s="4"/>
      <c r="R206" s="4"/>
      <c r="S206" s="4"/>
      <c r="T206" s="4"/>
      <c r="U206" s="4"/>
      <c r="V206" s="4"/>
    </row>
    <row r="207" spans="1:22" ht="50">
      <c r="A207" s="11">
        <v>44881</v>
      </c>
      <c r="B207" s="12" t="s">
        <v>5</v>
      </c>
      <c r="C207" s="12" t="s">
        <v>421</v>
      </c>
      <c r="D207" s="12" t="s">
        <v>422</v>
      </c>
      <c r="E207" s="13" t="str">
        <f>HYPERLINK("https://www.infogreen.lu/-batir-d-autres-modeles-.html#dossier-du-mois/article-19505","Info Green")</f>
        <v>Info Green</v>
      </c>
      <c r="F207" s="14"/>
      <c r="G207" s="15"/>
      <c r="H207" s="15"/>
      <c r="I207" s="3"/>
      <c r="J207" s="4"/>
      <c r="K207" s="4"/>
      <c r="L207" s="4"/>
      <c r="M207" s="4"/>
      <c r="N207" s="4"/>
      <c r="O207" s="4"/>
      <c r="P207" s="4"/>
      <c r="Q207" s="4"/>
      <c r="R207" s="4"/>
      <c r="S207" s="4"/>
      <c r="T207" s="4"/>
      <c r="U207" s="4"/>
      <c r="V207" s="4"/>
    </row>
    <row r="208" spans="1:22" ht="100">
      <c r="A208" s="11">
        <v>44881</v>
      </c>
      <c r="B208" s="12" t="s">
        <v>5</v>
      </c>
      <c r="C208" s="12" t="s">
        <v>423</v>
      </c>
      <c r="D208" s="12" t="s">
        <v>424</v>
      </c>
      <c r="E208" s="13" t="str">
        <f>HYPERLINK("https://www.stellantis.com/en/news/press-releases/2022/october/stellantis-fosters-circular-economy-ambitions-with-dedicated-business-unit-to-power-new-era-of-sustainable-manufacturing-and-consumption","Stellantis")</f>
        <v>Stellantis</v>
      </c>
      <c r="F208" s="16" t="str">
        <f>HYPERLINK("https://www.automotiveworld.com/news-releases/renault-group-the-future-is-neutral-the-circular-economy-is-stepping-into-a-new-era/","Automotive World")</f>
        <v>Automotive World</v>
      </c>
      <c r="G208" s="15"/>
      <c r="H208" s="15"/>
      <c r="I208" s="3"/>
      <c r="J208" s="4"/>
      <c r="K208" s="4"/>
      <c r="L208" s="4"/>
      <c r="M208" s="4"/>
      <c r="N208" s="4"/>
      <c r="O208" s="4"/>
      <c r="P208" s="4"/>
      <c r="Q208" s="4"/>
      <c r="R208" s="4"/>
      <c r="S208" s="4"/>
      <c r="T208" s="4"/>
      <c r="U208" s="4"/>
      <c r="V208" s="4"/>
    </row>
    <row r="209" spans="1:22" ht="87.5">
      <c r="A209" s="11">
        <v>44881</v>
      </c>
      <c r="B209" s="12" t="s">
        <v>5</v>
      </c>
      <c r="C209" s="12" t="s">
        <v>425</v>
      </c>
      <c r="D209" s="12" t="s">
        <v>426</v>
      </c>
      <c r="E209" s="13" t="str">
        <f>HYPERLINK("https://apparelresources.com/business-news/sustainability/ms-strengthens-drive-circular-economy-latest-collection-hirestreet/","Apparel Resources")</f>
        <v>Apparel Resources</v>
      </c>
      <c r="F209" s="16" t="str">
        <f>HYPERLINK("https://www.theguardian.com/business/2022/oct/31/marks-spencers-to-hire-out-clothes-to-cost-conscious-shoppers","The Guardian")</f>
        <v>The Guardian</v>
      </c>
      <c r="G209" s="17" t="str">
        <f>HYPERLINK("https://www.theguardian.com/fashion/2021/jul/06/renting-clothes-is-less-green-than-throwing-them-away","The Guardian")</f>
        <v>The Guardian</v>
      </c>
      <c r="H209" s="15"/>
      <c r="I209" s="3"/>
      <c r="J209" s="4"/>
      <c r="K209" s="4"/>
      <c r="L209" s="4"/>
      <c r="M209" s="4"/>
      <c r="N209" s="4"/>
      <c r="O209" s="4"/>
      <c r="P209" s="4"/>
      <c r="Q209" s="4"/>
      <c r="R209" s="4"/>
      <c r="S209" s="4"/>
      <c r="T209" s="4"/>
      <c r="U209" s="4"/>
      <c r="V209" s="4"/>
    </row>
    <row r="210" spans="1:22" ht="50">
      <c r="A210" s="11">
        <v>44881</v>
      </c>
      <c r="B210" s="12" t="s">
        <v>14</v>
      </c>
      <c r="C210" s="12" t="s">
        <v>427</v>
      </c>
      <c r="D210" s="12" t="s">
        <v>428</v>
      </c>
      <c r="E210" s="13" t="str">
        <f>HYPERLINK("https://sifted.eu/articles/carbon-storage-paebbl-seed-round/","Sifted")</f>
        <v>Sifted</v>
      </c>
      <c r="F210" s="16" t="str">
        <f>HYPERLINK("https://paebbl.com","Paebbel")</f>
        <v>Paebbel</v>
      </c>
      <c r="G210" s="15"/>
      <c r="H210" s="15"/>
      <c r="I210" s="3"/>
      <c r="J210" s="4"/>
      <c r="K210" s="4"/>
      <c r="L210" s="4"/>
      <c r="M210" s="4"/>
      <c r="N210" s="4"/>
      <c r="O210" s="4"/>
      <c r="P210" s="4"/>
      <c r="Q210" s="4"/>
      <c r="R210" s="4"/>
      <c r="S210" s="4"/>
      <c r="T210" s="4"/>
      <c r="U210" s="4"/>
      <c r="V210" s="4"/>
    </row>
    <row r="211" spans="1:22" ht="50">
      <c r="A211" s="11">
        <v>44881</v>
      </c>
      <c r="B211" s="12" t="s">
        <v>14</v>
      </c>
      <c r="C211" s="12" t="s">
        <v>429</v>
      </c>
      <c r="D211" s="12" t="s">
        <v>430</v>
      </c>
      <c r="E211" s="13" t="str">
        <f>HYPERLINK("https://pharmaphorum.com/news/janssen-leads-effort-to-cut-waste-in-digital-health-devices/","Pharmaphorum")</f>
        <v>Pharmaphorum</v>
      </c>
      <c r="F211" s="14"/>
      <c r="G211" s="15"/>
      <c r="H211" s="15"/>
      <c r="I211" s="3"/>
      <c r="J211" s="4"/>
      <c r="K211" s="4"/>
      <c r="L211" s="4"/>
      <c r="M211" s="4"/>
      <c r="N211" s="4"/>
      <c r="O211" s="4"/>
      <c r="P211" s="4"/>
      <c r="Q211" s="4"/>
      <c r="R211" s="4"/>
      <c r="S211" s="4"/>
      <c r="T211" s="4"/>
      <c r="U211" s="4"/>
      <c r="V211" s="4"/>
    </row>
    <row r="212" spans="1:22" ht="62.5">
      <c r="A212" s="11">
        <v>44881</v>
      </c>
      <c r="B212" s="12" t="s">
        <v>21</v>
      </c>
      <c r="C212" s="12" t="s">
        <v>431</v>
      </c>
      <c r="D212" s="12" t="s">
        <v>432</v>
      </c>
      <c r="E212" s="13" t="str">
        <f>HYPERLINK("https://joint-research-centre.ec.europa.eu/jrc-news/bioeconomy-strategies-eu-regions-where-are-we-2022-10-13_en","Joint Research Centre")</f>
        <v>Joint Research Centre</v>
      </c>
      <c r="F212" s="14"/>
      <c r="G212" s="15"/>
      <c r="H212" s="15"/>
      <c r="I212" s="3"/>
      <c r="J212" s="4"/>
      <c r="K212" s="4"/>
      <c r="L212" s="4"/>
      <c r="M212" s="4"/>
      <c r="N212" s="4"/>
      <c r="O212" s="4"/>
      <c r="P212" s="4"/>
      <c r="Q212" s="4"/>
      <c r="R212" s="4"/>
      <c r="S212" s="4"/>
      <c r="T212" s="4"/>
      <c r="U212" s="4"/>
      <c r="V212" s="4"/>
    </row>
    <row r="213" spans="1:22" ht="50">
      <c r="A213" s="11">
        <v>44881</v>
      </c>
      <c r="B213" s="12" t="s">
        <v>21</v>
      </c>
      <c r="C213" s="12" t="s">
        <v>433</v>
      </c>
      <c r="D213" s="12" t="s">
        <v>434</v>
      </c>
      <c r="E213" s="13" t="str">
        <f>HYPERLINK("https://www.porttechnology.org/news/titan-to-build-the-worlds-largest-biomethane-liquefaction-plant-at-amsterdam/","Port Technology")</f>
        <v>Port Technology</v>
      </c>
      <c r="F213" s="14"/>
      <c r="G213" s="15"/>
      <c r="H213" s="15"/>
      <c r="I213" s="3"/>
      <c r="J213" s="4"/>
      <c r="K213" s="4"/>
      <c r="L213" s="4"/>
      <c r="M213" s="4"/>
      <c r="N213" s="4"/>
      <c r="O213" s="4"/>
      <c r="P213" s="4"/>
      <c r="Q213" s="4"/>
      <c r="R213" s="4"/>
      <c r="S213" s="4"/>
      <c r="T213" s="4"/>
      <c r="U213" s="4"/>
      <c r="V213" s="4"/>
    </row>
    <row r="214" spans="1:22" ht="62.5">
      <c r="A214" s="11">
        <v>44881</v>
      </c>
      <c r="B214" s="12" t="s">
        <v>21</v>
      </c>
      <c r="C214" s="12" t="s">
        <v>435</v>
      </c>
      <c r="D214" s="12" t="s">
        <v>436</v>
      </c>
      <c r="E214" s="13" t="str">
        <f>HYPERLINK("https://www.euractiv.com/section/biomass/news/biomass-availability-gap-looms-large-over-eus-green-bioeconomy/","Euractiv")</f>
        <v>Euractiv</v>
      </c>
      <c r="F214" s="14"/>
      <c r="G214" s="15"/>
      <c r="H214" s="15"/>
      <c r="I214" s="3"/>
      <c r="J214" s="4"/>
      <c r="K214" s="4"/>
      <c r="L214" s="4"/>
      <c r="M214" s="4"/>
      <c r="N214" s="4"/>
      <c r="O214" s="4"/>
      <c r="P214" s="4"/>
      <c r="Q214" s="4"/>
      <c r="R214" s="4"/>
      <c r="S214" s="4"/>
      <c r="T214" s="4"/>
      <c r="U214" s="4"/>
      <c r="V214" s="4"/>
    </row>
    <row r="215" spans="1:22" ht="75">
      <c r="A215" s="11">
        <v>44881</v>
      </c>
      <c r="B215" s="12" t="s">
        <v>24</v>
      </c>
      <c r="C215" s="12" t="s">
        <v>437</v>
      </c>
      <c r="D215" s="12" t="s">
        <v>438</v>
      </c>
      <c r="E215" s="13" t="str">
        <f>HYPERLINK("https://www.meco.lu/fr/blog/documentcenter/flecke-leinen-erembenotzen-la-politique-doit-fixer-un-cadre/","Mouvement Ecologique")</f>
        <v>Mouvement Ecologique</v>
      </c>
      <c r="F215" s="16" t="str">
        <f>HYPERLINK("https://www.meco.lu/wp-content/uploads/2022/10/Revendications.pdf","Mouvement Ecologique")</f>
        <v>Mouvement Ecologique</v>
      </c>
      <c r="G215" s="15"/>
      <c r="H215" s="15"/>
      <c r="I215" s="3"/>
      <c r="J215" s="4"/>
      <c r="K215" s="4"/>
      <c r="L215" s="4"/>
      <c r="M215" s="4"/>
      <c r="N215" s="4"/>
      <c r="O215" s="4"/>
      <c r="P215" s="4"/>
      <c r="Q215" s="4"/>
      <c r="R215" s="4"/>
      <c r="S215" s="4"/>
      <c r="T215" s="4"/>
      <c r="U215" s="4"/>
      <c r="V215" s="4"/>
    </row>
    <row r="216" spans="1:22" ht="87.5">
      <c r="A216" s="11">
        <v>44881</v>
      </c>
      <c r="B216" s="12" t="s">
        <v>24</v>
      </c>
      <c r="C216" s="12" t="s">
        <v>439</v>
      </c>
      <c r="D216" s="12" t="s">
        <v>440</v>
      </c>
      <c r="E216" s="13" t="str">
        <f>HYPERLINK("https://www.gov.ie/en/press-release/4fe2a-minister-of-state-smyth-opens-circular-economy-innovation-grant-scheme-2022-for-applications/#","Irish government")</f>
        <v>Irish government</v>
      </c>
      <c r="F216" s="16" t="str">
        <f>HYPERLINK("https://walloniedesign.be/file/2022/09/Appel-manifestation-parcours-inno_VF-1.pdf","Wallonie Design")</f>
        <v>Wallonie Design</v>
      </c>
      <c r="G216" s="15"/>
      <c r="H216" s="15"/>
      <c r="I216" s="3"/>
      <c r="J216" s="4"/>
      <c r="K216" s="4"/>
      <c r="L216" s="4"/>
      <c r="M216" s="4"/>
      <c r="N216" s="4"/>
      <c r="O216" s="4"/>
      <c r="P216" s="4"/>
      <c r="Q216" s="4"/>
      <c r="R216" s="4"/>
      <c r="S216" s="4"/>
      <c r="T216" s="4"/>
      <c r="U216" s="4"/>
      <c r="V216" s="4"/>
    </row>
    <row r="217" spans="1:22" ht="62.5">
      <c r="A217" s="11">
        <v>44881</v>
      </c>
      <c r="B217" s="12" t="s">
        <v>29</v>
      </c>
      <c r="C217" s="12" t="s">
        <v>441</v>
      </c>
      <c r="D217" s="12" t="s">
        <v>442</v>
      </c>
      <c r="E217" s="13" t="str">
        <f>HYPERLINK("https://techcrunch.com/2022/10/28/cruz-foams-chitin-based-packaging-brings-in-18m-as-industries-scramble-to-go-green/","TechCrunch")</f>
        <v>TechCrunch</v>
      </c>
      <c r="F217" s="14"/>
      <c r="G217" s="15"/>
      <c r="H217" s="15"/>
      <c r="I217" s="3"/>
      <c r="J217" s="4"/>
      <c r="K217" s="4"/>
      <c r="L217" s="4"/>
      <c r="M217" s="4"/>
      <c r="N217" s="4"/>
      <c r="O217" s="4"/>
      <c r="P217" s="4"/>
      <c r="Q217" s="4"/>
      <c r="R217" s="4"/>
      <c r="S217" s="4"/>
      <c r="T217" s="4"/>
      <c r="U217" s="4"/>
      <c r="V217" s="4"/>
    </row>
    <row r="218" spans="1:22" ht="62.5">
      <c r="A218" s="11">
        <v>44881</v>
      </c>
      <c r="B218" s="12" t="s">
        <v>29</v>
      </c>
      <c r="C218" s="12" t="s">
        <v>443</v>
      </c>
      <c r="D218" s="12" t="s">
        <v>444</v>
      </c>
      <c r="E218" s="13" t="str">
        <f>HYPERLINK("https://www.nationaltribune.com.au/funding-victoria-s-transition-to-circular-economy/","National Trubune")</f>
        <v>National Trubune</v>
      </c>
      <c r="F218" s="14"/>
      <c r="G218" s="15"/>
      <c r="H218" s="15"/>
      <c r="I218" s="3"/>
      <c r="J218" s="4"/>
      <c r="K218" s="4"/>
      <c r="L218" s="4"/>
      <c r="M218" s="4"/>
      <c r="N218" s="4"/>
      <c r="O218" s="4"/>
      <c r="P218" s="4"/>
      <c r="Q218" s="4"/>
      <c r="R218" s="4"/>
      <c r="S218" s="4"/>
      <c r="T218" s="4"/>
      <c r="U218" s="4"/>
      <c r="V218" s="4"/>
    </row>
    <row r="219" spans="1:22" ht="62.5">
      <c r="A219" s="11">
        <v>44881</v>
      </c>
      <c r="B219" s="12" t="s">
        <v>32</v>
      </c>
      <c r="C219" s="12" t="s">
        <v>445</v>
      </c>
      <c r="D219" s="12" t="s">
        <v>446</v>
      </c>
      <c r="E219" s="13" t="str">
        <f>HYPERLINK("https://www.linkedin.com/feed/update/urn:li:activity:6986603386418692096/","Ministère de l'Environnement")</f>
        <v>Ministère de l'Environnement</v>
      </c>
      <c r="F219" s="16" t="str">
        <f>HYPERLINK("https://lnkd.in/eS-a4faE","IMS Luxembourg")</f>
        <v>IMS Luxembourg</v>
      </c>
      <c r="G219" s="15"/>
      <c r="H219" s="15"/>
      <c r="I219" s="3"/>
      <c r="J219" s="4"/>
      <c r="K219" s="4"/>
      <c r="L219" s="4"/>
      <c r="M219" s="4"/>
      <c r="N219" s="4"/>
      <c r="O219" s="4"/>
      <c r="P219" s="4"/>
      <c r="Q219" s="4"/>
      <c r="R219" s="4"/>
      <c r="S219" s="4"/>
      <c r="T219" s="4"/>
      <c r="U219" s="4"/>
      <c r="V219" s="4"/>
    </row>
    <row r="220" spans="1:22" ht="37.5">
      <c r="A220" s="11">
        <v>44881</v>
      </c>
      <c r="B220" s="12" t="s">
        <v>32</v>
      </c>
      <c r="C220" s="12" t="s">
        <v>447</v>
      </c>
      <c r="D220" s="12" t="s">
        <v>448</v>
      </c>
      <c r="E220" s="13" t="str">
        <f>HYPERLINK("https://economie-circulaire.public.lu/en/news/news-22-10-27.html","Économie Circulaire")</f>
        <v>Économie Circulaire</v>
      </c>
      <c r="F220" s="14"/>
      <c r="G220" s="15"/>
      <c r="H220" s="15"/>
      <c r="I220" s="3"/>
      <c r="J220" s="4"/>
      <c r="K220" s="4"/>
      <c r="L220" s="4"/>
      <c r="M220" s="4"/>
      <c r="N220" s="4"/>
      <c r="O220" s="4"/>
      <c r="P220" s="4"/>
      <c r="Q220" s="4"/>
      <c r="R220" s="4"/>
      <c r="S220" s="4"/>
      <c r="T220" s="4"/>
      <c r="U220" s="4"/>
      <c r="V220" s="4"/>
    </row>
    <row r="221" spans="1:22" ht="62.5">
      <c r="A221" s="11">
        <v>44881</v>
      </c>
      <c r="B221" s="12" t="s">
        <v>32</v>
      </c>
      <c r="C221" s="12" t="s">
        <v>449</v>
      </c>
      <c r="D221" s="12" t="s">
        <v>450</v>
      </c>
      <c r="E221" s="13" t="str">
        <f>HYPERLINK("https://www.infogreen.lu/structurer-le-reemploi-des-materiaux-au-luxembourg.html","Info Green")</f>
        <v>Info Green</v>
      </c>
      <c r="F221" s="14"/>
      <c r="G221" s="15"/>
      <c r="H221" s="15"/>
      <c r="I221" s="3"/>
      <c r="J221" s="4"/>
      <c r="K221" s="4"/>
      <c r="L221" s="4"/>
      <c r="M221" s="4"/>
      <c r="N221" s="4"/>
      <c r="O221" s="4"/>
      <c r="P221" s="4"/>
      <c r="Q221" s="4"/>
      <c r="R221" s="4"/>
      <c r="S221" s="4"/>
      <c r="T221" s="4"/>
      <c r="U221" s="4"/>
      <c r="V221" s="4"/>
    </row>
    <row r="222" spans="1:22" ht="62.5">
      <c r="A222" s="11">
        <v>44881</v>
      </c>
      <c r="B222" s="12" t="s">
        <v>32</v>
      </c>
      <c r="C222" s="12" t="s">
        <v>451</v>
      </c>
      <c r="D222" s="12" t="s">
        <v>452</v>
      </c>
      <c r="E222" s="13" t="str">
        <f>HYPERLINK("https://green-alley-award.com","Green Alley Award")</f>
        <v>Green Alley Award</v>
      </c>
      <c r="F222" s="14"/>
      <c r="G222" s="15"/>
      <c r="H222" s="15"/>
      <c r="I222" s="3"/>
      <c r="J222" s="4"/>
      <c r="K222" s="4"/>
      <c r="L222" s="4"/>
      <c r="M222" s="4"/>
      <c r="N222" s="4"/>
      <c r="O222" s="4"/>
      <c r="P222" s="4"/>
      <c r="Q222" s="4"/>
      <c r="R222" s="4"/>
      <c r="S222" s="4"/>
      <c r="T222" s="4"/>
      <c r="U222" s="4"/>
      <c r="V222" s="4"/>
    </row>
    <row r="223" spans="1:22" ht="200">
      <c r="A223" s="11">
        <v>44854.291666666672</v>
      </c>
      <c r="B223" s="12" t="s">
        <v>32</v>
      </c>
      <c r="C223" s="12" t="s">
        <v>453</v>
      </c>
      <c r="D223" s="12" t="s">
        <v>454</v>
      </c>
      <c r="E223" s="13" t="s">
        <v>455</v>
      </c>
      <c r="F223" s="14"/>
      <c r="G223" s="15"/>
      <c r="H223" s="15"/>
      <c r="I223" s="3"/>
      <c r="J223" s="4"/>
      <c r="K223" s="4"/>
      <c r="L223" s="4"/>
      <c r="M223" s="4"/>
      <c r="N223" s="4"/>
      <c r="O223" s="4"/>
      <c r="P223" s="4"/>
      <c r="Q223" s="4"/>
      <c r="R223" s="4"/>
      <c r="S223" s="4"/>
      <c r="T223" s="4"/>
      <c r="U223" s="4"/>
      <c r="V223" s="4"/>
    </row>
    <row r="224" spans="1:22" ht="87.5">
      <c r="A224" s="11">
        <v>44854.291666666672</v>
      </c>
      <c r="B224" s="12" t="s">
        <v>32</v>
      </c>
      <c r="C224" s="12" t="s">
        <v>456</v>
      </c>
      <c r="D224" s="12" t="s">
        <v>457</v>
      </c>
      <c r="E224" s="13" t="s">
        <v>458</v>
      </c>
      <c r="F224" s="16" t="s">
        <v>459</v>
      </c>
      <c r="G224" s="15"/>
      <c r="H224" s="15"/>
      <c r="I224" s="3"/>
      <c r="J224" s="4"/>
      <c r="K224" s="4"/>
      <c r="L224" s="4"/>
      <c r="M224" s="4"/>
      <c r="N224" s="4"/>
      <c r="O224" s="4"/>
      <c r="P224" s="4"/>
      <c r="Q224" s="4"/>
      <c r="R224" s="4"/>
      <c r="S224" s="4"/>
      <c r="T224" s="4"/>
      <c r="U224" s="4"/>
      <c r="V224" s="4"/>
    </row>
    <row r="225" spans="1:22" ht="75">
      <c r="A225" s="11">
        <v>44854.291666666672</v>
      </c>
      <c r="B225" s="12" t="s">
        <v>32</v>
      </c>
      <c r="C225" s="12" t="s">
        <v>460</v>
      </c>
      <c r="D225" s="12" t="s">
        <v>461</v>
      </c>
      <c r="E225" s="13" t="s">
        <v>462</v>
      </c>
      <c r="F225" s="14"/>
      <c r="G225" s="15"/>
      <c r="H225" s="15"/>
      <c r="I225" s="3"/>
      <c r="J225" s="4"/>
      <c r="K225" s="4"/>
      <c r="L225" s="4"/>
      <c r="M225" s="4"/>
      <c r="N225" s="4"/>
      <c r="O225" s="4"/>
      <c r="P225" s="4"/>
      <c r="Q225" s="4"/>
      <c r="R225" s="4"/>
      <c r="S225" s="4"/>
      <c r="T225" s="4"/>
      <c r="U225" s="4"/>
      <c r="V225" s="4"/>
    </row>
    <row r="226" spans="1:22" ht="75">
      <c r="A226" s="11">
        <v>44854.291666666672</v>
      </c>
      <c r="B226" s="12" t="s">
        <v>29</v>
      </c>
      <c r="C226" s="12" t="s">
        <v>463</v>
      </c>
      <c r="D226" s="12" t="s">
        <v>464</v>
      </c>
      <c r="E226" s="13" t="s">
        <v>465</v>
      </c>
      <c r="F226" s="16" t="s">
        <v>466</v>
      </c>
      <c r="G226" s="15"/>
      <c r="H226" s="15"/>
      <c r="I226" s="3"/>
      <c r="J226" s="4"/>
      <c r="K226" s="4"/>
      <c r="L226" s="4"/>
      <c r="M226" s="4"/>
      <c r="N226" s="4"/>
      <c r="O226" s="4"/>
      <c r="P226" s="4"/>
      <c r="Q226" s="4"/>
      <c r="R226" s="4"/>
      <c r="S226" s="4"/>
      <c r="T226" s="4"/>
      <c r="U226" s="4"/>
      <c r="V226" s="4"/>
    </row>
    <row r="227" spans="1:22" ht="75">
      <c r="A227" s="11">
        <v>44854.291666666672</v>
      </c>
      <c r="B227" s="12" t="s">
        <v>29</v>
      </c>
      <c r="C227" s="12" t="s">
        <v>467</v>
      </c>
      <c r="D227" s="12" t="s">
        <v>468</v>
      </c>
      <c r="E227" s="13" t="s">
        <v>469</v>
      </c>
      <c r="F227" s="14"/>
      <c r="G227" s="15"/>
      <c r="H227" s="15"/>
      <c r="I227" s="3"/>
      <c r="J227" s="4"/>
      <c r="K227" s="4"/>
      <c r="L227" s="4"/>
      <c r="M227" s="4"/>
      <c r="N227" s="4"/>
      <c r="O227" s="4"/>
      <c r="P227" s="4"/>
      <c r="Q227" s="4"/>
      <c r="R227" s="4"/>
      <c r="S227" s="4"/>
      <c r="T227" s="4"/>
      <c r="U227" s="4"/>
      <c r="V227" s="4"/>
    </row>
    <row r="228" spans="1:22" ht="50">
      <c r="A228" s="11">
        <v>44854.291666666672</v>
      </c>
      <c r="B228" s="12" t="s">
        <v>29</v>
      </c>
      <c r="C228" s="12" t="s">
        <v>470</v>
      </c>
      <c r="D228" s="12" t="s">
        <v>471</v>
      </c>
      <c r="E228" s="13" t="s">
        <v>472</v>
      </c>
      <c r="F228" s="14"/>
      <c r="G228" s="15"/>
      <c r="H228" s="15"/>
      <c r="I228" s="3"/>
      <c r="J228" s="4"/>
      <c r="K228" s="4"/>
      <c r="L228" s="4"/>
      <c r="M228" s="4"/>
      <c r="N228" s="4"/>
      <c r="O228" s="4"/>
      <c r="P228" s="4"/>
      <c r="Q228" s="4"/>
      <c r="R228" s="4"/>
      <c r="S228" s="4"/>
      <c r="T228" s="4"/>
      <c r="U228" s="4"/>
      <c r="V228" s="4"/>
    </row>
    <row r="229" spans="1:22" ht="75">
      <c r="A229" s="11">
        <v>44854.291666666672</v>
      </c>
      <c r="B229" s="12" t="s">
        <v>24</v>
      </c>
      <c r="C229" s="12" t="s">
        <v>473</v>
      </c>
      <c r="D229" s="12" t="s">
        <v>474</v>
      </c>
      <c r="E229" s="13" t="s">
        <v>475</v>
      </c>
      <c r="F229" s="14"/>
      <c r="G229" s="15"/>
      <c r="H229" s="15"/>
      <c r="I229" s="3"/>
      <c r="J229" s="4"/>
      <c r="K229" s="4"/>
      <c r="L229" s="4"/>
      <c r="M229" s="4"/>
      <c r="N229" s="4"/>
      <c r="O229" s="4"/>
      <c r="P229" s="4"/>
      <c r="Q229" s="4"/>
      <c r="R229" s="4"/>
      <c r="S229" s="4"/>
      <c r="T229" s="4"/>
      <c r="U229" s="4"/>
      <c r="V229" s="4"/>
    </row>
    <row r="230" spans="1:22" ht="62.5">
      <c r="A230" s="11">
        <v>44854.291666666672</v>
      </c>
      <c r="B230" s="12" t="s">
        <v>24</v>
      </c>
      <c r="C230" s="12" t="s">
        <v>476</v>
      </c>
      <c r="D230" s="12" t="s">
        <v>477</v>
      </c>
      <c r="E230" s="13" t="s">
        <v>478</v>
      </c>
      <c r="F230" s="14"/>
      <c r="G230" s="15"/>
      <c r="H230" s="15"/>
      <c r="I230" s="3"/>
      <c r="J230" s="4"/>
      <c r="K230" s="4"/>
      <c r="L230" s="4"/>
      <c r="M230" s="4"/>
      <c r="N230" s="4"/>
      <c r="O230" s="4"/>
      <c r="P230" s="4"/>
      <c r="Q230" s="4"/>
      <c r="R230" s="4"/>
      <c r="S230" s="4"/>
      <c r="T230" s="4"/>
      <c r="U230" s="4"/>
      <c r="V230" s="4"/>
    </row>
    <row r="231" spans="1:22" ht="75">
      <c r="A231" s="11">
        <v>44854.291666666672</v>
      </c>
      <c r="B231" s="12" t="s">
        <v>24</v>
      </c>
      <c r="C231" s="12" t="s">
        <v>479</v>
      </c>
      <c r="D231" s="12" t="s">
        <v>480</v>
      </c>
      <c r="E231" s="13" t="s">
        <v>481</v>
      </c>
      <c r="F231" s="14"/>
      <c r="G231" s="15"/>
      <c r="H231" s="15"/>
      <c r="I231" s="3"/>
      <c r="J231" s="4"/>
      <c r="K231" s="4"/>
      <c r="L231" s="4"/>
      <c r="M231" s="4"/>
      <c r="N231" s="4"/>
      <c r="O231" s="4"/>
      <c r="P231" s="4"/>
      <c r="Q231" s="4"/>
      <c r="R231" s="4"/>
      <c r="S231" s="4"/>
      <c r="T231" s="4"/>
      <c r="U231" s="4"/>
      <c r="V231" s="4"/>
    </row>
    <row r="232" spans="1:22" ht="75">
      <c r="A232" s="11">
        <v>44854.291666666672</v>
      </c>
      <c r="B232" s="12" t="s">
        <v>21</v>
      </c>
      <c r="C232" s="12" t="s">
        <v>482</v>
      </c>
      <c r="D232" s="12" t="s">
        <v>483</v>
      </c>
      <c r="E232" s="13" t="s">
        <v>484</v>
      </c>
      <c r="F232" s="14"/>
      <c r="G232" s="15"/>
      <c r="H232" s="15"/>
      <c r="I232" s="3"/>
      <c r="J232" s="4"/>
      <c r="K232" s="4"/>
      <c r="L232" s="4"/>
      <c r="M232" s="4"/>
      <c r="N232" s="4"/>
      <c r="O232" s="4"/>
      <c r="P232" s="4"/>
      <c r="Q232" s="4"/>
      <c r="R232" s="4"/>
      <c r="S232" s="4"/>
      <c r="T232" s="4"/>
      <c r="U232" s="4"/>
      <c r="V232" s="4"/>
    </row>
    <row r="233" spans="1:22" ht="87.5">
      <c r="A233" s="11">
        <v>44854.291666666672</v>
      </c>
      <c r="B233" s="12" t="s">
        <v>21</v>
      </c>
      <c r="C233" s="12" t="s">
        <v>485</v>
      </c>
      <c r="D233" s="12" t="s">
        <v>486</v>
      </c>
      <c r="E233" s="13" t="s">
        <v>487</v>
      </c>
      <c r="F233" s="16" t="s">
        <v>488</v>
      </c>
      <c r="G233" s="15"/>
      <c r="H233" s="15"/>
      <c r="I233" s="3"/>
      <c r="J233" s="4"/>
      <c r="K233" s="4"/>
      <c r="L233" s="4"/>
      <c r="M233" s="4"/>
      <c r="N233" s="4"/>
      <c r="O233" s="4"/>
      <c r="P233" s="4"/>
      <c r="Q233" s="4"/>
      <c r="R233" s="4"/>
      <c r="S233" s="4"/>
      <c r="T233" s="4"/>
      <c r="U233" s="4"/>
      <c r="V233" s="4"/>
    </row>
    <row r="234" spans="1:22" ht="75">
      <c r="A234" s="11">
        <v>44854.291666666672</v>
      </c>
      <c r="B234" s="12" t="s">
        <v>14</v>
      </c>
      <c r="C234" s="12" t="s">
        <v>489</v>
      </c>
      <c r="D234" s="12" t="s">
        <v>490</v>
      </c>
      <c r="E234" s="13" t="s">
        <v>491</v>
      </c>
      <c r="F234" s="14"/>
      <c r="G234" s="15"/>
      <c r="H234" s="15"/>
      <c r="I234" s="3"/>
      <c r="J234" s="4"/>
      <c r="K234" s="4"/>
      <c r="L234" s="4"/>
      <c r="M234" s="4"/>
      <c r="N234" s="4"/>
      <c r="O234" s="4"/>
      <c r="P234" s="4"/>
      <c r="Q234" s="4"/>
      <c r="R234" s="4"/>
      <c r="S234" s="4"/>
      <c r="T234" s="4"/>
      <c r="U234" s="4"/>
      <c r="V234" s="4"/>
    </row>
    <row r="235" spans="1:22" ht="75">
      <c r="A235" s="11">
        <v>44854.291666666672</v>
      </c>
      <c r="B235" s="12" t="s">
        <v>14</v>
      </c>
      <c r="C235" s="12" t="s">
        <v>492</v>
      </c>
      <c r="D235" s="12" t="s">
        <v>493</v>
      </c>
      <c r="E235" s="13" t="s">
        <v>494</v>
      </c>
      <c r="F235" s="16" t="s">
        <v>495</v>
      </c>
      <c r="G235" s="15"/>
      <c r="H235" s="15"/>
      <c r="I235" s="3"/>
      <c r="J235" s="4"/>
      <c r="K235" s="4"/>
      <c r="L235" s="4"/>
      <c r="M235" s="4"/>
      <c r="N235" s="4"/>
      <c r="O235" s="4"/>
      <c r="P235" s="4"/>
      <c r="Q235" s="4"/>
      <c r="R235" s="4"/>
      <c r="S235" s="4"/>
      <c r="T235" s="4"/>
      <c r="U235" s="4"/>
      <c r="V235" s="4"/>
    </row>
    <row r="236" spans="1:22" ht="75">
      <c r="A236" s="11">
        <v>44854.291666666672</v>
      </c>
      <c r="B236" s="12" t="s">
        <v>5</v>
      </c>
      <c r="C236" s="12" t="s">
        <v>496</v>
      </c>
      <c r="D236" s="12" t="s">
        <v>497</v>
      </c>
      <c r="E236" s="13" t="s">
        <v>498</v>
      </c>
      <c r="F236" s="14"/>
      <c r="G236" s="15"/>
      <c r="H236" s="15"/>
      <c r="I236" s="3"/>
      <c r="J236" s="4"/>
      <c r="K236" s="4"/>
      <c r="L236" s="4"/>
      <c r="M236" s="4"/>
      <c r="N236" s="4"/>
      <c r="O236" s="4"/>
      <c r="P236" s="4"/>
      <c r="Q236" s="4"/>
      <c r="R236" s="4"/>
      <c r="S236" s="4"/>
      <c r="T236" s="4"/>
      <c r="U236" s="4"/>
      <c r="V236" s="4"/>
    </row>
    <row r="237" spans="1:22" ht="62.5">
      <c r="A237" s="11">
        <v>44854.291666666672</v>
      </c>
      <c r="B237" s="12" t="s">
        <v>5</v>
      </c>
      <c r="C237" s="12" t="s">
        <v>499</v>
      </c>
      <c r="D237" s="12" t="s">
        <v>500</v>
      </c>
      <c r="E237" s="13" t="s">
        <v>501</v>
      </c>
      <c r="F237" s="14"/>
      <c r="G237" s="15"/>
      <c r="H237" s="15"/>
      <c r="I237" s="3"/>
      <c r="J237" s="4"/>
      <c r="K237" s="4"/>
      <c r="L237" s="4"/>
      <c r="M237" s="4"/>
      <c r="N237" s="4"/>
      <c r="O237" s="4"/>
      <c r="P237" s="4"/>
      <c r="Q237" s="4"/>
      <c r="R237" s="4"/>
      <c r="S237" s="4"/>
      <c r="T237" s="4"/>
      <c r="U237" s="4"/>
      <c r="V237" s="4"/>
    </row>
    <row r="238" spans="1:22" ht="75">
      <c r="A238" s="11">
        <v>44824.291666666672</v>
      </c>
      <c r="B238" s="12" t="s">
        <v>5</v>
      </c>
      <c r="C238" s="12" t="s">
        <v>502</v>
      </c>
      <c r="D238" s="12" t="s">
        <v>503</v>
      </c>
      <c r="E238" s="13" t="s">
        <v>504</v>
      </c>
      <c r="F238" s="14"/>
      <c r="G238" s="15"/>
      <c r="H238" s="15"/>
      <c r="I238" s="3"/>
      <c r="J238" s="4"/>
      <c r="K238" s="4"/>
      <c r="L238" s="4"/>
      <c r="M238" s="4"/>
      <c r="N238" s="4"/>
      <c r="O238" s="4"/>
      <c r="P238" s="4"/>
      <c r="Q238" s="4"/>
      <c r="R238" s="4"/>
      <c r="S238" s="4"/>
      <c r="T238" s="4"/>
      <c r="U238" s="4"/>
      <c r="V238" s="4"/>
    </row>
    <row r="239" spans="1:22" ht="112.5">
      <c r="A239" s="11">
        <v>44824.291666666672</v>
      </c>
      <c r="B239" s="12" t="s">
        <v>32</v>
      </c>
      <c r="C239" s="12" t="s">
        <v>505</v>
      </c>
      <c r="D239" s="12" t="s">
        <v>506</v>
      </c>
      <c r="E239" s="13" t="s">
        <v>507</v>
      </c>
      <c r="F239" s="16" t="s">
        <v>508</v>
      </c>
      <c r="G239" s="15"/>
      <c r="H239" s="15"/>
      <c r="I239" s="3"/>
      <c r="J239" s="4"/>
      <c r="K239" s="4"/>
      <c r="L239" s="4"/>
      <c r="M239" s="4"/>
      <c r="N239" s="4"/>
      <c r="O239" s="4"/>
      <c r="P239" s="4"/>
      <c r="Q239" s="4"/>
      <c r="R239" s="4"/>
      <c r="S239" s="4"/>
      <c r="T239" s="4"/>
      <c r="U239" s="4"/>
      <c r="V239" s="4"/>
    </row>
    <row r="240" spans="1:22" ht="87.5">
      <c r="A240" s="11">
        <v>44824.291666666672</v>
      </c>
      <c r="B240" s="12" t="s">
        <v>32</v>
      </c>
      <c r="C240" s="12" t="s">
        <v>509</v>
      </c>
      <c r="D240" s="12" t="s">
        <v>510</v>
      </c>
      <c r="E240" s="13" t="s">
        <v>511</v>
      </c>
      <c r="F240" s="16" t="s">
        <v>512</v>
      </c>
      <c r="G240" s="15"/>
      <c r="H240" s="15"/>
      <c r="I240" s="3"/>
      <c r="J240" s="4"/>
      <c r="K240" s="4"/>
      <c r="L240" s="4"/>
      <c r="M240" s="4"/>
      <c r="N240" s="4"/>
      <c r="O240" s="4"/>
      <c r="P240" s="4"/>
      <c r="Q240" s="4"/>
      <c r="R240" s="4"/>
      <c r="S240" s="4"/>
      <c r="T240" s="4"/>
      <c r="U240" s="4"/>
      <c r="V240" s="4"/>
    </row>
    <row r="241" spans="1:22" ht="87.5">
      <c r="A241" s="11">
        <v>44824.291666666672</v>
      </c>
      <c r="B241" s="12" t="s">
        <v>24</v>
      </c>
      <c r="C241" s="12" t="s">
        <v>513</v>
      </c>
      <c r="D241" s="12" t="s">
        <v>514</v>
      </c>
      <c r="E241" s="13" t="s">
        <v>515</v>
      </c>
      <c r="F241" s="14"/>
      <c r="G241" s="15"/>
      <c r="H241" s="15"/>
      <c r="I241" s="3"/>
      <c r="J241" s="4"/>
      <c r="K241" s="4"/>
      <c r="L241" s="4"/>
      <c r="M241" s="4"/>
      <c r="N241" s="4"/>
      <c r="O241" s="4"/>
      <c r="P241" s="4"/>
      <c r="Q241" s="4"/>
      <c r="R241" s="4"/>
      <c r="S241" s="4"/>
      <c r="T241" s="4"/>
      <c r="U241" s="4"/>
      <c r="V241" s="4"/>
    </row>
    <row r="242" spans="1:22" ht="75">
      <c r="A242" s="11">
        <v>44824.291666666672</v>
      </c>
      <c r="B242" s="12" t="s">
        <v>24</v>
      </c>
      <c r="C242" s="12" t="s">
        <v>516</v>
      </c>
      <c r="D242" s="12" t="s">
        <v>517</v>
      </c>
      <c r="E242" s="13" t="s">
        <v>518</v>
      </c>
      <c r="F242" s="14"/>
      <c r="G242" s="15"/>
      <c r="H242" s="15"/>
      <c r="I242" s="3"/>
      <c r="J242" s="4"/>
      <c r="K242" s="4"/>
      <c r="L242" s="4"/>
      <c r="M242" s="4"/>
      <c r="N242" s="4"/>
      <c r="O242" s="4"/>
      <c r="P242" s="4"/>
      <c r="Q242" s="4"/>
      <c r="R242" s="4"/>
      <c r="S242" s="4"/>
      <c r="T242" s="4"/>
      <c r="U242" s="4"/>
      <c r="V242" s="4"/>
    </row>
    <row r="243" spans="1:22" ht="75">
      <c r="A243" s="11">
        <v>44824.291666666672</v>
      </c>
      <c r="B243" s="12" t="s">
        <v>24</v>
      </c>
      <c r="C243" s="12" t="s">
        <v>519</v>
      </c>
      <c r="D243" s="12" t="s">
        <v>520</v>
      </c>
      <c r="E243" s="13" t="s">
        <v>521</v>
      </c>
      <c r="F243" s="14"/>
      <c r="G243" s="15"/>
      <c r="H243" s="15"/>
      <c r="I243" s="3"/>
      <c r="J243" s="4"/>
      <c r="K243" s="4"/>
      <c r="L243" s="4"/>
      <c r="M243" s="4"/>
      <c r="N243" s="4"/>
      <c r="O243" s="4"/>
      <c r="P243" s="4"/>
      <c r="Q243" s="4"/>
      <c r="R243" s="4"/>
      <c r="S243" s="4"/>
      <c r="T243" s="4"/>
      <c r="U243" s="4"/>
      <c r="V243" s="4"/>
    </row>
    <row r="244" spans="1:22" ht="87.5">
      <c r="A244" s="11">
        <v>44824.291666666672</v>
      </c>
      <c r="B244" s="12" t="s">
        <v>29</v>
      </c>
      <c r="C244" s="12" t="s">
        <v>522</v>
      </c>
      <c r="D244" s="12" t="s">
        <v>523</v>
      </c>
      <c r="E244" s="13" t="s">
        <v>524</v>
      </c>
      <c r="F244" s="14"/>
      <c r="G244" s="15"/>
      <c r="H244" s="15"/>
      <c r="I244" s="3"/>
      <c r="J244" s="4"/>
      <c r="K244" s="4"/>
      <c r="L244" s="4"/>
      <c r="M244" s="4"/>
      <c r="N244" s="4"/>
      <c r="O244" s="4"/>
      <c r="P244" s="4"/>
      <c r="Q244" s="4"/>
      <c r="R244" s="4"/>
      <c r="S244" s="4"/>
      <c r="T244" s="4"/>
      <c r="U244" s="4"/>
      <c r="V244" s="4"/>
    </row>
    <row r="245" spans="1:22" ht="87.5">
      <c r="A245" s="11">
        <v>44824.291666666672</v>
      </c>
      <c r="B245" s="12" t="s">
        <v>29</v>
      </c>
      <c r="C245" s="12" t="s">
        <v>525</v>
      </c>
      <c r="D245" s="12" t="s">
        <v>526</v>
      </c>
      <c r="E245" s="13" t="s">
        <v>527</v>
      </c>
      <c r="F245" s="16" t="s">
        <v>528</v>
      </c>
      <c r="G245" s="15"/>
      <c r="H245" s="15"/>
      <c r="I245" s="3"/>
      <c r="J245" s="4"/>
      <c r="K245" s="4"/>
      <c r="L245" s="4"/>
      <c r="M245" s="4"/>
      <c r="N245" s="4"/>
      <c r="O245" s="4"/>
      <c r="P245" s="4"/>
      <c r="Q245" s="4"/>
      <c r="R245" s="4"/>
      <c r="S245" s="4"/>
      <c r="T245" s="4"/>
      <c r="U245" s="4"/>
      <c r="V245" s="4"/>
    </row>
    <row r="246" spans="1:22" ht="75">
      <c r="A246" s="11">
        <v>44824.291666666672</v>
      </c>
      <c r="B246" s="12" t="s">
        <v>21</v>
      </c>
      <c r="C246" s="12" t="s">
        <v>529</v>
      </c>
      <c r="D246" s="12" t="s">
        <v>530</v>
      </c>
      <c r="E246" s="13" t="s">
        <v>531</v>
      </c>
      <c r="F246" s="14"/>
      <c r="G246" s="15"/>
      <c r="H246" s="15"/>
      <c r="I246" s="3"/>
      <c r="J246" s="4"/>
      <c r="K246" s="4"/>
      <c r="L246" s="4"/>
      <c r="M246" s="4"/>
      <c r="N246" s="4"/>
      <c r="O246" s="4"/>
      <c r="P246" s="4"/>
      <c r="Q246" s="4"/>
      <c r="R246" s="4"/>
      <c r="S246" s="4"/>
      <c r="T246" s="4"/>
      <c r="U246" s="4"/>
      <c r="V246" s="4"/>
    </row>
    <row r="247" spans="1:22" ht="87.5">
      <c r="A247" s="11">
        <v>44824.291666666672</v>
      </c>
      <c r="B247" s="12" t="s">
        <v>21</v>
      </c>
      <c r="C247" s="12" t="s">
        <v>532</v>
      </c>
      <c r="D247" s="12" t="s">
        <v>533</v>
      </c>
      <c r="E247" s="13" t="s">
        <v>534</v>
      </c>
      <c r="F247" s="14"/>
      <c r="G247" s="15"/>
      <c r="H247" s="15"/>
      <c r="I247" s="3"/>
      <c r="J247" s="4"/>
      <c r="K247" s="4"/>
      <c r="L247" s="4"/>
      <c r="M247" s="4"/>
      <c r="N247" s="4"/>
      <c r="O247" s="4"/>
      <c r="P247" s="4"/>
      <c r="Q247" s="4"/>
      <c r="R247" s="4"/>
      <c r="S247" s="4"/>
      <c r="T247" s="4"/>
      <c r="U247" s="4"/>
      <c r="V247" s="4"/>
    </row>
    <row r="248" spans="1:22" ht="62.5">
      <c r="A248" s="11">
        <v>44824.291666666672</v>
      </c>
      <c r="B248" s="12" t="s">
        <v>21</v>
      </c>
      <c r="C248" s="12" t="s">
        <v>535</v>
      </c>
      <c r="D248" s="12" t="s">
        <v>536</v>
      </c>
      <c r="E248" s="13" t="s">
        <v>537</v>
      </c>
      <c r="F248" s="14"/>
      <c r="G248" s="15"/>
      <c r="H248" s="15"/>
      <c r="I248" s="3"/>
      <c r="J248" s="4"/>
      <c r="K248" s="4"/>
      <c r="L248" s="4"/>
      <c r="M248" s="4"/>
      <c r="N248" s="4"/>
      <c r="O248" s="4"/>
      <c r="P248" s="4"/>
      <c r="Q248" s="4"/>
      <c r="R248" s="4"/>
      <c r="S248" s="4"/>
      <c r="T248" s="4"/>
      <c r="U248" s="4"/>
      <c r="V248" s="4"/>
    </row>
    <row r="249" spans="1:22" ht="100">
      <c r="A249" s="11">
        <v>44824.291666666672</v>
      </c>
      <c r="B249" s="12" t="s">
        <v>14</v>
      </c>
      <c r="C249" s="12" t="s">
        <v>538</v>
      </c>
      <c r="D249" s="12" t="s">
        <v>539</v>
      </c>
      <c r="E249" s="13" t="s">
        <v>540</v>
      </c>
      <c r="F249" s="14"/>
      <c r="G249" s="15"/>
      <c r="H249" s="15"/>
      <c r="I249" s="3"/>
      <c r="J249" s="4"/>
      <c r="K249" s="4"/>
      <c r="L249" s="4"/>
      <c r="M249" s="4"/>
      <c r="N249" s="4"/>
      <c r="O249" s="4"/>
      <c r="P249" s="4"/>
      <c r="Q249" s="4"/>
      <c r="R249" s="4"/>
      <c r="S249" s="4"/>
      <c r="T249" s="4"/>
      <c r="U249" s="4"/>
      <c r="V249" s="4"/>
    </row>
    <row r="250" spans="1:22" ht="87.5">
      <c r="A250" s="11">
        <v>44824.291666666672</v>
      </c>
      <c r="B250" s="12" t="s">
        <v>14</v>
      </c>
      <c r="C250" s="12" t="s">
        <v>541</v>
      </c>
      <c r="D250" s="12" t="s">
        <v>542</v>
      </c>
      <c r="E250" s="13" t="s">
        <v>543</v>
      </c>
      <c r="F250" s="14"/>
      <c r="G250" s="15"/>
      <c r="H250" s="15"/>
      <c r="I250" s="3"/>
      <c r="J250" s="4"/>
      <c r="K250" s="4"/>
      <c r="L250" s="4"/>
      <c r="M250" s="4"/>
      <c r="N250" s="4"/>
      <c r="O250" s="4"/>
      <c r="P250" s="4"/>
      <c r="Q250" s="4"/>
      <c r="R250" s="4"/>
      <c r="S250" s="4"/>
      <c r="T250" s="4"/>
      <c r="U250" s="4"/>
      <c r="V250" s="4"/>
    </row>
    <row r="251" spans="1:22" ht="75">
      <c r="A251" s="11">
        <v>44824.291666666672</v>
      </c>
      <c r="B251" s="12" t="s">
        <v>5</v>
      </c>
      <c r="C251" s="12" t="s">
        <v>544</v>
      </c>
      <c r="D251" s="12" t="s">
        <v>545</v>
      </c>
      <c r="E251" s="13" t="s">
        <v>546</v>
      </c>
      <c r="F251" s="14"/>
      <c r="G251" s="15"/>
      <c r="H251" s="15"/>
      <c r="I251" s="3"/>
      <c r="J251" s="4"/>
      <c r="K251" s="4"/>
      <c r="L251" s="4"/>
      <c r="M251" s="4"/>
      <c r="N251" s="4"/>
      <c r="O251" s="4"/>
      <c r="P251" s="4"/>
      <c r="Q251" s="4"/>
      <c r="R251" s="4"/>
      <c r="S251" s="4"/>
      <c r="T251" s="4"/>
      <c r="U251" s="4"/>
      <c r="V251" s="4"/>
    </row>
    <row r="252" spans="1:22" ht="175">
      <c r="A252" s="11">
        <v>44824.291666666672</v>
      </c>
      <c r="B252" s="12" t="s">
        <v>5</v>
      </c>
      <c r="C252" s="12" t="s">
        <v>547</v>
      </c>
      <c r="D252" s="12" t="s">
        <v>548</v>
      </c>
      <c r="E252" s="13" t="s">
        <v>549</v>
      </c>
      <c r="F252" s="20" t="s">
        <v>550</v>
      </c>
      <c r="G252" s="21" t="s">
        <v>551</v>
      </c>
      <c r="H252" s="21" t="s">
        <v>552</v>
      </c>
      <c r="I252" s="3"/>
      <c r="J252" s="4"/>
      <c r="K252" s="4"/>
      <c r="L252" s="4"/>
      <c r="M252" s="4"/>
      <c r="N252" s="4"/>
      <c r="O252" s="4"/>
      <c r="P252" s="4"/>
      <c r="Q252" s="4"/>
      <c r="R252" s="4"/>
      <c r="S252" s="4"/>
      <c r="T252" s="4"/>
      <c r="U252" s="4"/>
      <c r="V252" s="4"/>
    </row>
    <row r="253" spans="1:22" ht="62.5">
      <c r="A253" s="11">
        <v>44788.313912037032</v>
      </c>
      <c r="B253" s="12" t="s">
        <v>5</v>
      </c>
      <c r="C253" s="12" t="s">
        <v>553</v>
      </c>
      <c r="D253" s="12" t="s">
        <v>554</v>
      </c>
      <c r="E253" s="13" t="s">
        <v>555</v>
      </c>
      <c r="F253" s="16" t="s">
        <v>556</v>
      </c>
      <c r="G253" s="15"/>
      <c r="H253" s="15"/>
      <c r="I253" s="3"/>
      <c r="J253" s="4"/>
      <c r="K253" s="4"/>
      <c r="L253" s="4"/>
      <c r="M253" s="4"/>
      <c r="N253" s="4"/>
      <c r="O253" s="4"/>
      <c r="P253" s="4"/>
      <c r="Q253" s="4"/>
      <c r="R253" s="4"/>
      <c r="S253" s="4"/>
      <c r="T253" s="4"/>
      <c r="U253" s="4"/>
      <c r="V253" s="4"/>
    </row>
    <row r="254" spans="1:22" ht="62.5">
      <c r="A254" s="11">
        <v>44788.313900462963</v>
      </c>
      <c r="B254" s="12" t="s">
        <v>29</v>
      </c>
      <c r="C254" s="12" t="s">
        <v>557</v>
      </c>
      <c r="D254" s="12" t="s">
        <v>558</v>
      </c>
      <c r="E254" s="17" t="s">
        <v>559</v>
      </c>
      <c r="F254" s="15"/>
      <c r="G254" s="15"/>
      <c r="H254" s="15"/>
      <c r="I254" s="3"/>
      <c r="J254" s="4"/>
      <c r="K254" s="4"/>
      <c r="L254" s="4"/>
      <c r="M254" s="4"/>
      <c r="N254" s="4"/>
      <c r="O254" s="4"/>
      <c r="P254" s="4"/>
      <c r="Q254" s="4"/>
      <c r="R254" s="4"/>
      <c r="S254" s="4"/>
      <c r="T254" s="4"/>
      <c r="U254" s="4"/>
      <c r="V254" s="4"/>
    </row>
    <row r="255" spans="1:22" ht="87.5">
      <c r="A255" s="11">
        <v>44788.313900462963</v>
      </c>
      <c r="B255" s="12" t="s">
        <v>29</v>
      </c>
      <c r="C255" s="12" t="s">
        <v>560</v>
      </c>
      <c r="D255" s="12" t="s">
        <v>561</v>
      </c>
      <c r="E255" s="17" t="s">
        <v>562</v>
      </c>
      <c r="F255" s="15"/>
      <c r="G255" s="15"/>
      <c r="H255" s="15"/>
      <c r="I255" s="3"/>
      <c r="J255" s="4"/>
      <c r="K255" s="4"/>
      <c r="L255" s="4"/>
      <c r="M255" s="4"/>
      <c r="N255" s="4"/>
      <c r="O255" s="4"/>
      <c r="P255" s="4"/>
      <c r="Q255" s="4"/>
      <c r="R255" s="4"/>
      <c r="S255" s="4"/>
      <c r="T255" s="4"/>
      <c r="U255" s="4"/>
      <c r="V255" s="4"/>
    </row>
    <row r="256" spans="1:22" ht="87.5">
      <c r="A256" s="11">
        <v>44788.313900462963</v>
      </c>
      <c r="B256" s="12" t="s">
        <v>24</v>
      </c>
      <c r="C256" s="12" t="s">
        <v>563</v>
      </c>
      <c r="D256" s="12" t="s">
        <v>564</v>
      </c>
      <c r="E256" s="17" t="s">
        <v>565</v>
      </c>
      <c r="F256" s="15"/>
      <c r="G256" s="15"/>
      <c r="H256" s="15"/>
      <c r="I256" s="3"/>
      <c r="J256" s="4"/>
      <c r="K256" s="4"/>
      <c r="L256" s="4"/>
      <c r="M256" s="4"/>
      <c r="N256" s="4"/>
      <c r="O256" s="4"/>
      <c r="P256" s="4"/>
      <c r="Q256" s="4"/>
      <c r="R256" s="4"/>
      <c r="S256" s="4"/>
      <c r="T256" s="4"/>
      <c r="U256" s="4"/>
      <c r="V256" s="4"/>
    </row>
    <row r="257" spans="1:22" ht="75">
      <c r="A257" s="11">
        <v>44788.313900462963</v>
      </c>
      <c r="B257" s="12" t="s">
        <v>24</v>
      </c>
      <c r="C257" s="12" t="s">
        <v>566</v>
      </c>
      <c r="D257" s="12" t="s">
        <v>567</v>
      </c>
      <c r="E257" s="17" t="s">
        <v>568</v>
      </c>
      <c r="F257" s="15"/>
      <c r="G257" s="15"/>
      <c r="H257" s="15"/>
      <c r="I257" s="3"/>
      <c r="J257" s="4"/>
      <c r="K257" s="4"/>
      <c r="L257" s="4"/>
      <c r="M257" s="4"/>
      <c r="N257" s="4"/>
      <c r="O257" s="4"/>
      <c r="P257" s="4"/>
      <c r="Q257" s="4"/>
      <c r="R257" s="4"/>
      <c r="S257" s="4"/>
      <c r="T257" s="4"/>
      <c r="U257" s="4"/>
      <c r="V257" s="4"/>
    </row>
    <row r="258" spans="1:22" ht="62.5">
      <c r="A258" s="11">
        <v>44788.313900462963</v>
      </c>
      <c r="B258" s="12" t="s">
        <v>21</v>
      </c>
      <c r="C258" s="12" t="s">
        <v>569</v>
      </c>
      <c r="D258" s="12" t="s">
        <v>570</v>
      </c>
      <c r="E258" s="17" t="s">
        <v>571</v>
      </c>
      <c r="F258" s="15"/>
      <c r="G258" s="15"/>
      <c r="H258" s="15"/>
      <c r="I258" s="3"/>
      <c r="J258" s="4"/>
      <c r="K258" s="4"/>
      <c r="L258" s="4"/>
      <c r="M258" s="4"/>
      <c r="N258" s="4"/>
      <c r="O258" s="4"/>
      <c r="P258" s="4"/>
      <c r="Q258" s="4"/>
      <c r="R258" s="4"/>
      <c r="S258" s="4"/>
      <c r="T258" s="4"/>
      <c r="U258" s="4"/>
      <c r="V258" s="4"/>
    </row>
    <row r="259" spans="1:22" ht="62.5">
      <c r="A259" s="11">
        <v>44788.313900462963</v>
      </c>
      <c r="B259" s="12" t="s">
        <v>21</v>
      </c>
      <c r="C259" s="12" t="s">
        <v>572</v>
      </c>
      <c r="D259" s="12" t="s">
        <v>573</v>
      </c>
      <c r="E259" s="17" t="s">
        <v>574</v>
      </c>
      <c r="F259" s="15"/>
      <c r="G259" s="15"/>
      <c r="H259" s="15"/>
      <c r="I259" s="3"/>
      <c r="J259" s="4"/>
      <c r="K259" s="4"/>
      <c r="L259" s="4"/>
      <c r="M259" s="4"/>
      <c r="N259" s="4"/>
      <c r="O259" s="4"/>
      <c r="P259" s="4"/>
      <c r="Q259" s="4"/>
      <c r="R259" s="4"/>
      <c r="S259" s="4"/>
      <c r="T259" s="4"/>
      <c r="U259" s="4"/>
      <c r="V259" s="4"/>
    </row>
    <row r="260" spans="1:22" ht="75">
      <c r="A260" s="11">
        <v>44788.313900462963</v>
      </c>
      <c r="B260" s="12" t="s">
        <v>21</v>
      </c>
      <c r="C260" s="12" t="s">
        <v>575</v>
      </c>
      <c r="D260" s="12" t="s">
        <v>576</v>
      </c>
      <c r="E260" s="17" t="s">
        <v>577</v>
      </c>
      <c r="F260" s="15"/>
      <c r="G260" s="15"/>
      <c r="H260" s="15"/>
      <c r="I260" s="3"/>
      <c r="J260" s="4"/>
      <c r="K260" s="4"/>
      <c r="L260" s="4"/>
      <c r="M260" s="4"/>
      <c r="N260" s="4"/>
      <c r="O260" s="4"/>
      <c r="P260" s="4"/>
      <c r="Q260" s="4"/>
      <c r="R260" s="4"/>
      <c r="S260" s="4"/>
      <c r="T260" s="4"/>
      <c r="U260" s="4"/>
      <c r="V260" s="4"/>
    </row>
    <row r="261" spans="1:22" ht="66.5" customHeight="1">
      <c r="A261" s="11">
        <v>44788.313900462963</v>
      </c>
      <c r="B261" s="12" t="s">
        <v>14</v>
      </c>
      <c r="C261" s="12" t="s">
        <v>578</v>
      </c>
      <c r="D261" s="12" t="s">
        <v>579</v>
      </c>
      <c r="E261" s="17" t="s">
        <v>580</v>
      </c>
      <c r="F261" s="15"/>
      <c r="G261" s="15"/>
      <c r="H261" s="15"/>
      <c r="I261" s="3"/>
      <c r="J261" s="4"/>
      <c r="K261" s="4"/>
      <c r="L261" s="4"/>
      <c r="M261" s="4"/>
      <c r="N261" s="4"/>
      <c r="O261" s="4"/>
      <c r="P261" s="4"/>
      <c r="Q261" s="4"/>
      <c r="R261" s="4"/>
      <c r="S261" s="4"/>
      <c r="T261" s="4"/>
      <c r="U261" s="4"/>
      <c r="V261" s="4"/>
    </row>
    <row r="262" spans="1:22" ht="62.5">
      <c r="A262" s="11">
        <v>44788.313900462963</v>
      </c>
      <c r="B262" s="12" t="s">
        <v>14</v>
      </c>
      <c r="C262" s="12" t="s">
        <v>581</v>
      </c>
      <c r="D262" s="12" t="s">
        <v>582</v>
      </c>
      <c r="E262" s="17" t="s">
        <v>583</v>
      </c>
      <c r="F262" s="15"/>
      <c r="G262" s="15"/>
      <c r="H262" s="15"/>
      <c r="I262" s="3"/>
      <c r="J262" s="4"/>
      <c r="K262" s="4"/>
      <c r="L262" s="4"/>
      <c r="M262" s="4"/>
      <c r="N262" s="4"/>
      <c r="O262" s="4"/>
      <c r="P262" s="4"/>
      <c r="Q262" s="4"/>
      <c r="R262" s="4"/>
      <c r="S262" s="4"/>
      <c r="T262" s="4"/>
      <c r="U262" s="4"/>
      <c r="V262" s="4"/>
    </row>
    <row r="263" spans="1:22" ht="87.5">
      <c r="A263" s="11">
        <v>44788.313900462963</v>
      </c>
      <c r="B263" s="12" t="s">
        <v>14</v>
      </c>
      <c r="C263" s="12" t="s">
        <v>584</v>
      </c>
      <c r="D263" s="12" t="s">
        <v>585</v>
      </c>
      <c r="E263" s="13" t="s">
        <v>586</v>
      </c>
      <c r="F263" s="16" t="s">
        <v>587</v>
      </c>
      <c r="G263" s="15"/>
      <c r="H263" s="15"/>
      <c r="I263" s="3"/>
      <c r="J263" s="4"/>
      <c r="K263" s="4"/>
      <c r="L263" s="4"/>
      <c r="M263" s="4"/>
      <c r="N263" s="4"/>
      <c r="O263" s="4"/>
      <c r="P263" s="4"/>
      <c r="Q263" s="4"/>
      <c r="R263" s="4"/>
      <c r="S263" s="4"/>
      <c r="T263" s="4"/>
      <c r="U263" s="4"/>
      <c r="V263" s="4"/>
    </row>
    <row r="264" spans="1:22" ht="62.5">
      <c r="A264" s="11">
        <v>44788.313888888893</v>
      </c>
      <c r="B264" s="12" t="s">
        <v>32</v>
      </c>
      <c r="C264" s="12" t="s">
        <v>588</v>
      </c>
      <c r="D264" s="12" t="s">
        <v>589</v>
      </c>
      <c r="E264" s="17" t="s">
        <v>590</v>
      </c>
      <c r="F264" s="15"/>
      <c r="G264" s="15"/>
      <c r="H264" s="15"/>
      <c r="I264" s="3"/>
      <c r="J264" s="4"/>
      <c r="K264" s="4"/>
      <c r="L264" s="4"/>
      <c r="M264" s="4"/>
      <c r="N264" s="4"/>
      <c r="O264" s="4"/>
      <c r="P264" s="4"/>
      <c r="Q264" s="4"/>
      <c r="R264" s="4"/>
      <c r="S264" s="4"/>
      <c r="T264" s="4"/>
      <c r="U264" s="4"/>
      <c r="V264" s="4"/>
    </row>
    <row r="265" spans="1:22" ht="75">
      <c r="A265" s="11">
        <v>44788.313888888893</v>
      </c>
      <c r="B265" s="12" t="s">
        <v>32</v>
      </c>
      <c r="C265" s="12" t="s">
        <v>591</v>
      </c>
      <c r="D265" s="12" t="s">
        <v>592</v>
      </c>
      <c r="E265" s="17" t="s">
        <v>593</v>
      </c>
      <c r="F265" s="15"/>
      <c r="G265" s="15"/>
      <c r="H265" s="15"/>
      <c r="I265" s="3"/>
      <c r="J265" s="4"/>
      <c r="K265" s="4"/>
      <c r="L265" s="4"/>
      <c r="M265" s="4"/>
      <c r="N265" s="4"/>
      <c r="O265" s="4"/>
      <c r="P265" s="4"/>
      <c r="Q265" s="4"/>
      <c r="R265" s="4"/>
      <c r="S265" s="4"/>
      <c r="T265" s="4"/>
      <c r="U265" s="4"/>
      <c r="V265" s="4"/>
    </row>
    <row r="266" spans="1:22" ht="62.5">
      <c r="A266" s="11">
        <v>44788.313888888893</v>
      </c>
      <c r="B266" s="12" t="s">
        <v>5</v>
      </c>
      <c r="C266" s="12" t="s">
        <v>594</v>
      </c>
      <c r="D266" s="12" t="s">
        <v>595</v>
      </c>
      <c r="E266" s="17" t="s">
        <v>596</v>
      </c>
      <c r="F266" s="15"/>
      <c r="G266" s="15"/>
      <c r="H266" s="15"/>
      <c r="I266" s="3"/>
      <c r="J266" s="4"/>
      <c r="K266" s="4"/>
      <c r="L266" s="4"/>
      <c r="M266" s="4"/>
      <c r="N266" s="4"/>
      <c r="O266" s="4"/>
      <c r="P266" s="4"/>
      <c r="Q266" s="4"/>
      <c r="R266" s="4"/>
      <c r="S266" s="4"/>
      <c r="T266" s="4"/>
      <c r="U266" s="4"/>
      <c r="V266" s="4"/>
    </row>
    <row r="267" spans="1:22" ht="50">
      <c r="A267" s="11">
        <v>44788.313888888893</v>
      </c>
      <c r="B267" s="12" t="s">
        <v>32</v>
      </c>
      <c r="C267" s="12" t="s">
        <v>597</v>
      </c>
      <c r="D267" s="12" t="s">
        <v>598</v>
      </c>
      <c r="E267" s="17" t="s">
        <v>599</v>
      </c>
      <c r="F267" s="15"/>
      <c r="G267" s="15"/>
      <c r="H267" s="15"/>
      <c r="I267" s="3"/>
      <c r="J267" s="4"/>
      <c r="K267" s="4"/>
      <c r="L267" s="4"/>
      <c r="M267" s="4"/>
      <c r="N267" s="4"/>
      <c r="O267" s="4"/>
      <c r="P267" s="4"/>
      <c r="Q267" s="4"/>
      <c r="R267" s="4"/>
      <c r="S267" s="4"/>
      <c r="T267" s="4"/>
      <c r="U267" s="4"/>
      <c r="V267" s="4"/>
    </row>
    <row r="268" spans="1:22" ht="75">
      <c r="A268" s="11">
        <v>44788.313888888893</v>
      </c>
      <c r="B268" s="12" t="s">
        <v>32</v>
      </c>
      <c r="C268" s="12" t="s">
        <v>600</v>
      </c>
      <c r="D268" s="12" t="s">
        <v>601</v>
      </c>
      <c r="E268" s="17" t="s">
        <v>602</v>
      </c>
      <c r="F268" s="15"/>
      <c r="G268" s="15"/>
      <c r="H268" s="15"/>
      <c r="I268" s="3"/>
      <c r="J268" s="4"/>
      <c r="K268" s="4"/>
      <c r="L268" s="4"/>
      <c r="M268" s="4"/>
      <c r="N268" s="4"/>
      <c r="O268" s="4"/>
      <c r="P268" s="4"/>
      <c r="Q268" s="4"/>
      <c r="R268" s="4"/>
      <c r="S268" s="4"/>
      <c r="T268" s="4"/>
      <c r="U268" s="4"/>
      <c r="V268" s="4"/>
    </row>
    <row r="269" spans="1:22" ht="50">
      <c r="A269" s="11">
        <v>44788.313888888893</v>
      </c>
      <c r="B269" s="12" t="s">
        <v>32</v>
      </c>
      <c r="C269" s="12" t="s">
        <v>603</v>
      </c>
      <c r="D269" s="12" t="s">
        <v>604</v>
      </c>
      <c r="E269" s="17" t="s">
        <v>605</v>
      </c>
      <c r="F269" s="15"/>
      <c r="G269" s="15"/>
      <c r="H269" s="15"/>
      <c r="I269" s="3"/>
      <c r="J269" s="4"/>
      <c r="K269" s="4"/>
      <c r="L269" s="4"/>
      <c r="M269" s="4"/>
      <c r="N269" s="4"/>
      <c r="O269" s="4"/>
      <c r="P269" s="4"/>
      <c r="Q269" s="4"/>
      <c r="R269" s="4"/>
      <c r="S269" s="4"/>
      <c r="T269" s="4"/>
      <c r="U269" s="4"/>
      <c r="V269" s="4"/>
    </row>
    <row r="270" spans="1:22" ht="50">
      <c r="A270" s="11">
        <v>44788.313888888893</v>
      </c>
      <c r="B270" s="12" t="s">
        <v>14</v>
      </c>
      <c r="C270" s="12" t="s">
        <v>606</v>
      </c>
      <c r="D270" s="12" t="s">
        <v>607</v>
      </c>
      <c r="E270" s="17" t="s">
        <v>608</v>
      </c>
      <c r="F270" s="15"/>
      <c r="G270" s="15"/>
      <c r="H270" s="15"/>
      <c r="I270" s="3"/>
      <c r="J270" s="4"/>
      <c r="K270" s="4"/>
      <c r="L270" s="4"/>
      <c r="M270" s="4"/>
      <c r="N270" s="4"/>
      <c r="O270" s="4"/>
      <c r="P270" s="4"/>
      <c r="Q270" s="4"/>
      <c r="R270" s="4"/>
      <c r="S270" s="4"/>
      <c r="T270" s="4"/>
      <c r="U270" s="4"/>
      <c r="V270" s="4"/>
    </row>
    <row r="271" spans="1:22" ht="112.5">
      <c r="A271" s="11">
        <v>44788.313877314809</v>
      </c>
      <c r="B271" s="12" t="s">
        <v>5</v>
      </c>
      <c r="C271" s="12" t="s">
        <v>609</v>
      </c>
      <c r="D271" s="12" t="s">
        <v>610</v>
      </c>
      <c r="E271" s="17" t="s">
        <v>611</v>
      </c>
      <c r="F271" s="15"/>
      <c r="G271" s="15"/>
      <c r="H271" s="15"/>
      <c r="I271" s="3"/>
      <c r="J271" s="4"/>
      <c r="K271" s="4"/>
      <c r="L271" s="4"/>
      <c r="M271" s="4"/>
      <c r="N271" s="4"/>
      <c r="O271" s="4"/>
      <c r="P271" s="4"/>
      <c r="Q271" s="4"/>
      <c r="R271" s="4"/>
      <c r="S271" s="4"/>
      <c r="T271" s="4"/>
      <c r="U271" s="4"/>
      <c r="V271" s="4"/>
    </row>
    <row r="272" spans="1:22" ht="75">
      <c r="A272" s="11">
        <v>44761.291666666672</v>
      </c>
      <c r="B272" s="12" t="s">
        <v>32</v>
      </c>
      <c r="C272" s="12" t="s">
        <v>612</v>
      </c>
      <c r="D272" s="12" t="s">
        <v>613</v>
      </c>
      <c r="E272" s="17" t="s">
        <v>614</v>
      </c>
      <c r="F272" s="15"/>
      <c r="G272" s="15"/>
      <c r="H272" s="15"/>
      <c r="I272" s="3"/>
      <c r="J272" s="4"/>
      <c r="K272" s="4"/>
      <c r="L272" s="4"/>
      <c r="M272" s="4"/>
      <c r="N272" s="4"/>
      <c r="O272" s="4"/>
      <c r="P272" s="4"/>
      <c r="Q272" s="4"/>
      <c r="R272" s="4"/>
      <c r="S272" s="4"/>
      <c r="T272" s="4"/>
      <c r="U272" s="4"/>
      <c r="V272" s="4"/>
    </row>
    <row r="273" spans="1:22" ht="75">
      <c r="A273" s="11">
        <v>44761.291666666672</v>
      </c>
      <c r="B273" s="12" t="s">
        <v>21</v>
      </c>
      <c r="C273" s="12" t="s">
        <v>615</v>
      </c>
      <c r="D273" s="12" t="s">
        <v>616</v>
      </c>
      <c r="E273" s="13" t="s">
        <v>617</v>
      </c>
      <c r="F273" s="16" t="s">
        <v>618</v>
      </c>
      <c r="G273" s="15"/>
      <c r="H273" s="15"/>
      <c r="I273" s="3"/>
      <c r="J273" s="4"/>
      <c r="K273" s="4"/>
      <c r="L273" s="4"/>
      <c r="M273" s="4"/>
      <c r="N273" s="4"/>
      <c r="O273" s="4"/>
      <c r="P273" s="4"/>
      <c r="Q273" s="4"/>
      <c r="R273" s="4"/>
      <c r="S273" s="4"/>
      <c r="T273" s="4"/>
      <c r="U273" s="4"/>
      <c r="V273" s="4"/>
    </row>
    <row r="274" spans="1:22" ht="75">
      <c r="A274" s="11">
        <v>44761.291666666672</v>
      </c>
      <c r="B274" s="12" t="s">
        <v>32</v>
      </c>
      <c r="C274" s="12" t="s">
        <v>619</v>
      </c>
      <c r="D274" s="12" t="s">
        <v>620</v>
      </c>
      <c r="E274" s="17" t="s">
        <v>621</v>
      </c>
      <c r="F274" s="15"/>
      <c r="G274" s="15"/>
      <c r="H274" s="15"/>
      <c r="I274" s="3"/>
      <c r="J274" s="4"/>
      <c r="K274" s="4"/>
      <c r="L274" s="4"/>
      <c r="M274" s="4"/>
      <c r="N274" s="4"/>
      <c r="O274" s="4"/>
      <c r="P274" s="4"/>
      <c r="Q274" s="4"/>
      <c r="R274" s="4"/>
      <c r="S274" s="4"/>
      <c r="T274" s="4"/>
      <c r="U274" s="4"/>
      <c r="V274" s="4"/>
    </row>
    <row r="275" spans="1:22" ht="75">
      <c r="A275" s="11">
        <v>44761.291666666672</v>
      </c>
      <c r="B275" s="12" t="s">
        <v>32</v>
      </c>
      <c r="C275" s="12" t="s">
        <v>622</v>
      </c>
      <c r="D275" s="12" t="s">
        <v>623</v>
      </c>
      <c r="E275" s="13" t="s">
        <v>624</v>
      </c>
      <c r="F275" s="16" t="s">
        <v>625</v>
      </c>
      <c r="G275" s="15"/>
      <c r="H275" s="15"/>
      <c r="I275" s="3"/>
      <c r="J275" s="4"/>
      <c r="K275" s="4"/>
      <c r="L275" s="4"/>
      <c r="M275" s="4"/>
      <c r="N275" s="4"/>
      <c r="O275" s="4"/>
      <c r="P275" s="4"/>
      <c r="Q275" s="4"/>
      <c r="R275" s="4"/>
      <c r="S275" s="4"/>
      <c r="T275" s="4"/>
      <c r="U275" s="4"/>
      <c r="V275" s="4"/>
    </row>
    <row r="276" spans="1:22" ht="75">
      <c r="A276" s="11">
        <v>44761.291666666672</v>
      </c>
      <c r="B276" s="12" t="s">
        <v>21</v>
      </c>
      <c r="C276" s="12" t="s">
        <v>626</v>
      </c>
      <c r="D276" s="12" t="s">
        <v>627</v>
      </c>
      <c r="E276" s="17" t="s">
        <v>628</v>
      </c>
      <c r="F276" s="15"/>
      <c r="G276" s="15"/>
      <c r="H276" s="15"/>
      <c r="I276" s="3"/>
      <c r="J276" s="4"/>
      <c r="K276" s="4"/>
      <c r="L276" s="4"/>
      <c r="M276" s="4"/>
      <c r="N276" s="4"/>
      <c r="O276" s="4"/>
      <c r="P276" s="4"/>
      <c r="Q276" s="4"/>
      <c r="R276" s="4"/>
      <c r="S276" s="4"/>
      <c r="T276" s="4"/>
      <c r="U276" s="4"/>
      <c r="V276" s="4"/>
    </row>
    <row r="277" spans="1:22" ht="62.5">
      <c r="A277" s="11">
        <v>44761.291666666672</v>
      </c>
      <c r="B277" s="12" t="s">
        <v>14</v>
      </c>
      <c r="C277" s="12" t="s">
        <v>629</v>
      </c>
      <c r="D277" s="12" t="s">
        <v>630</v>
      </c>
      <c r="E277" s="13" t="s">
        <v>631</v>
      </c>
      <c r="F277" s="16" t="s">
        <v>632</v>
      </c>
      <c r="G277" s="15"/>
      <c r="H277" s="15"/>
      <c r="I277" s="3"/>
      <c r="J277" s="4"/>
      <c r="K277" s="4"/>
      <c r="L277" s="4"/>
      <c r="M277" s="4"/>
      <c r="N277" s="4"/>
      <c r="O277" s="4"/>
      <c r="P277" s="4"/>
      <c r="Q277" s="4"/>
      <c r="R277" s="4"/>
      <c r="S277" s="4"/>
      <c r="T277" s="4"/>
      <c r="U277" s="4"/>
      <c r="V277" s="4"/>
    </row>
    <row r="278" spans="1:22" ht="100">
      <c r="A278" s="11">
        <v>44761.291666666672</v>
      </c>
      <c r="B278" s="12" t="s">
        <v>14</v>
      </c>
      <c r="C278" s="12" t="s">
        <v>633</v>
      </c>
      <c r="D278" s="12" t="s">
        <v>634</v>
      </c>
      <c r="E278" s="13" t="s">
        <v>635</v>
      </c>
      <c r="F278" s="16" t="s">
        <v>636</v>
      </c>
      <c r="G278" s="15"/>
      <c r="H278" s="15"/>
      <c r="I278" s="3"/>
      <c r="J278" s="4"/>
      <c r="K278" s="4"/>
      <c r="L278" s="4"/>
      <c r="M278" s="4"/>
      <c r="N278" s="4"/>
      <c r="O278" s="4"/>
      <c r="P278" s="4"/>
      <c r="Q278" s="4"/>
      <c r="R278" s="4"/>
      <c r="S278" s="4"/>
      <c r="T278" s="4"/>
      <c r="U278" s="4"/>
      <c r="V278" s="4"/>
    </row>
    <row r="279" spans="1:22" ht="162.5">
      <c r="A279" s="11">
        <v>44761.291666666672</v>
      </c>
      <c r="B279" s="12" t="s">
        <v>24</v>
      </c>
      <c r="C279" s="12" t="s">
        <v>637</v>
      </c>
      <c r="D279" s="12" t="s">
        <v>638</v>
      </c>
      <c r="E279" s="13" t="s">
        <v>639</v>
      </c>
      <c r="F279" s="22" t="s">
        <v>640</v>
      </c>
      <c r="G279" s="15"/>
      <c r="H279" s="15"/>
      <c r="I279" s="3"/>
      <c r="J279" s="4"/>
      <c r="K279" s="4"/>
      <c r="L279" s="4"/>
      <c r="M279" s="4"/>
      <c r="N279" s="4"/>
      <c r="O279" s="4"/>
      <c r="P279" s="4"/>
      <c r="Q279" s="4"/>
      <c r="R279" s="4"/>
      <c r="S279" s="4"/>
      <c r="T279" s="4"/>
      <c r="U279" s="4"/>
      <c r="V279" s="4"/>
    </row>
    <row r="280" spans="1:22" ht="75">
      <c r="A280" s="11">
        <v>44761.291666666672</v>
      </c>
      <c r="B280" s="12" t="s">
        <v>24</v>
      </c>
      <c r="C280" s="12" t="s">
        <v>641</v>
      </c>
      <c r="D280" s="12" t="s">
        <v>642</v>
      </c>
      <c r="E280" s="13" t="s">
        <v>643</v>
      </c>
      <c r="F280" s="20" t="s">
        <v>644</v>
      </c>
      <c r="G280" s="15"/>
      <c r="H280" s="15"/>
      <c r="I280" s="3"/>
      <c r="J280" s="4"/>
      <c r="K280" s="4"/>
      <c r="L280" s="4"/>
      <c r="M280" s="4"/>
      <c r="N280" s="4"/>
      <c r="O280" s="4"/>
      <c r="P280" s="4"/>
      <c r="Q280" s="4"/>
      <c r="R280" s="4"/>
      <c r="S280" s="4"/>
      <c r="T280" s="4"/>
      <c r="U280" s="4"/>
      <c r="V280" s="4"/>
    </row>
    <row r="281" spans="1:22" ht="100">
      <c r="A281" s="11">
        <v>44761.291666666672</v>
      </c>
      <c r="B281" s="12" t="s">
        <v>24</v>
      </c>
      <c r="C281" s="12" t="s">
        <v>645</v>
      </c>
      <c r="D281" s="12" t="s">
        <v>646</v>
      </c>
      <c r="E281" s="13" t="s">
        <v>647</v>
      </c>
      <c r="F281" s="16" t="s">
        <v>648</v>
      </c>
      <c r="G281" s="15"/>
      <c r="H281" s="15"/>
      <c r="I281" s="3"/>
      <c r="J281" s="4"/>
      <c r="K281" s="4"/>
      <c r="L281" s="4"/>
      <c r="M281" s="4"/>
      <c r="N281" s="4"/>
      <c r="O281" s="4"/>
      <c r="P281" s="4"/>
      <c r="Q281" s="4"/>
      <c r="R281" s="4"/>
      <c r="S281" s="4"/>
      <c r="T281" s="4"/>
      <c r="U281" s="4"/>
      <c r="V281" s="4"/>
    </row>
    <row r="282" spans="1:22" ht="62.5">
      <c r="A282" s="11">
        <v>44761.291666666672</v>
      </c>
      <c r="B282" s="12" t="s">
        <v>29</v>
      </c>
      <c r="C282" s="12" t="s">
        <v>649</v>
      </c>
      <c r="D282" s="12" t="s">
        <v>650</v>
      </c>
      <c r="E282" s="13" t="s">
        <v>651</v>
      </c>
      <c r="F282" s="16" t="s">
        <v>652</v>
      </c>
      <c r="G282" s="15"/>
      <c r="H282" s="15"/>
      <c r="I282" s="3"/>
      <c r="J282" s="4"/>
      <c r="K282" s="4"/>
      <c r="L282" s="4"/>
      <c r="M282" s="4"/>
      <c r="N282" s="4"/>
      <c r="O282" s="4"/>
      <c r="P282" s="4"/>
      <c r="Q282" s="4"/>
      <c r="R282" s="4"/>
      <c r="S282" s="4"/>
      <c r="T282" s="4"/>
      <c r="U282" s="4"/>
      <c r="V282" s="4"/>
    </row>
    <row r="283" spans="1:22" ht="100">
      <c r="A283" s="11">
        <v>44761.291666666672</v>
      </c>
      <c r="B283" s="12" t="s">
        <v>29</v>
      </c>
      <c r="C283" s="12" t="s">
        <v>653</v>
      </c>
      <c r="D283" s="12" t="s">
        <v>654</v>
      </c>
      <c r="E283" s="13" t="s">
        <v>655</v>
      </c>
      <c r="F283" s="16" t="s">
        <v>656</v>
      </c>
      <c r="G283" s="15"/>
      <c r="H283" s="15"/>
      <c r="I283" s="3"/>
      <c r="J283" s="4"/>
      <c r="K283" s="4"/>
      <c r="L283" s="4"/>
      <c r="M283" s="4"/>
      <c r="N283" s="4"/>
      <c r="O283" s="4"/>
      <c r="P283" s="4"/>
      <c r="Q283" s="4"/>
      <c r="R283" s="4"/>
      <c r="S283" s="4"/>
      <c r="T283" s="4"/>
      <c r="U283" s="4"/>
      <c r="V283" s="4"/>
    </row>
    <row r="284" spans="1:22" ht="62.5">
      <c r="A284" s="11">
        <v>44761.291666666672</v>
      </c>
      <c r="B284" s="12" t="s">
        <v>5</v>
      </c>
      <c r="C284" s="12" t="s">
        <v>657</v>
      </c>
      <c r="D284" s="12" t="s">
        <v>658</v>
      </c>
      <c r="E284" s="17" t="s">
        <v>659</v>
      </c>
      <c r="F284" s="15"/>
      <c r="G284" s="15"/>
      <c r="H284" s="15"/>
      <c r="I284" s="3"/>
      <c r="J284" s="4"/>
      <c r="K284" s="4"/>
      <c r="L284" s="4"/>
      <c r="M284" s="4"/>
      <c r="N284" s="4"/>
      <c r="O284" s="4"/>
      <c r="P284" s="4"/>
      <c r="Q284" s="4"/>
      <c r="R284" s="4"/>
      <c r="S284" s="4"/>
      <c r="T284" s="4"/>
      <c r="U284" s="4"/>
      <c r="V284" s="4"/>
    </row>
    <row r="285" spans="1:22" ht="87.5">
      <c r="A285" s="11">
        <v>44761.291666666672</v>
      </c>
      <c r="B285" s="12" t="s">
        <v>5</v>
      </c>
      <c r="C285" s="12" t="s">
        <v>660</v>
      </c>
      <c r="D285" s="12" t="s">
        <v>661</v>
      </c>
      <c r="E285" s="13" t="s">
        <v>662</v>
      </c>
      <c r="F285" s="16" t="s">
        <v>663</v>
      </c>
      <c r="G285" s="15"/>
      <c r="H285" s="15"/>
      <c r="I285" s="3"/>
      <c r="J285" s="4"/>
      <c r="K285" s="4"/>
      <c r="L285" s="4"/>
      <c r="M285" s="4"/>
      <c r="N285" s="4"/>
      <c r="O285" s="4"/>
      <c r="P285" s="4"/>
      <c r="Q285" s="4"/>
      <c r="R285" s="4"/>
      <c r="S285" s="4"/>
      <c r="T285" s="4"/>
      <c r="U285" s="4"/>
      <c r="V285" s="4"/>
    </row>
    <row r="286" spans="1:22" ht="75">
      <c r="A286" s="11">
        <v>44761.291666666672</v>
      </c>
      <c r="B286" s="12" t="s">
        <v>32</v>
      </c>
      <c r="C286" s="12" t="s">
        <v>664</v>
      </c>
      <c r="D286" s="12" t="s">
        <v>665</v>
      </c>
      <c r="E286" s="17" t="s">
        <v>666</v>
      </c>
      <c r="F286" s="15"/>
      <c r="G286" s="15"/>
      <c r="H286" s="15"/>
      <c r="I286" s="3"/>
      <c r="J286" s="4"/>
      <c r="K286" s="4"/>
      <c r="L286" s="4"/>
      <c r="M286" s="4"/>
      <c r="N286" s="4"/>
      <c r="O286" s="4"/>
      <c r="P286" s="4"/>
      <c r="Q286" s="4"/>
      <c r="R286" s="4"/>
      <c r="S286" s="4"/>
      <c r="T286" s="4"/>
      <c r="U286" s="4"/>
      <c r="V286" s="4"/>
    </row>
    <row r="287" spans="1:22" ht="112.5">
      <c r="A287" s="11">
        <v>44761.291666666672</v>
      </c>
      <c r="B287" s="12" t="s">
        <v>29</v>
      </c>
      <c r="C287" s="12" t="s">
        <v>667</v>
      </c>
      <c r="D287" s="12" t="s">
        <v>668</v>
      </c>
      <c r="E287" s="17" t="s">
        <v>669</v>
      </c>
      <c r="F287" s="15"/>
      <c r="G287" s="15"/>
      <c r="H287" s="15"/>
      <c r="I287" s="3"/>
      <c r="J287" s="4"/>
      <c r="K287" s="4"/>
      <c r="L287" s="4"/>
      <c r="M287" s="4"/>
      <c r="N287" s="4"/>
      <c r="O287" s="4"/>
      <c r="P287" s="4"/>
      <c r="Q287" s="4"/>
      <c r="R287" s="4"/>
      <c r="S287" s="4"/>
      <c r="T287" s="4"/>
      <c r="U287" s="4"/>
      <c r="V287" s="4"/>
    </row>
    <row r="288" spans="1:22" ht="100">
      <c r="A288" s="11">
        <v>44761.291666666672</v>
      </c>
      <c r="B288" s="12" t="s">
        <v>5</v>
      </c>
      <c r="C288" s="12" t="s">
        <v>670</v>
      </c>
      <c r="D288" s="12" t="s">
        <v>671</v>
      </c>
      <c r="E288" s="13" t="s">
        <v>672</v>
      </c>
      <c r="F288" s="16" t="s">
        <v>673</v>
      </c>
      <c r="G288" s="15"/>
      <c r="H288" s="15"/>
      <c r="I288" s="3"/>
      <c r="J288" s="4"/>
      <c r="K288" s="4"/>
      <c r="L288" s="4"/>
      <c r="M288" s="4"/>
      <c r="N288" s="4"/>
      <c r="O288" s="4"/>
      <c r="P288" s="4"/>
      <c r="Q288" s="4"/>
      <c r="R288" s="4"/>
      <c r="S288" s="4"/>
      <c r="T288" s="4"/>
      <c r="U288" s="4"/>
      <c r="V288" s="4"/>
    </row>
    <row r="289" spans="1:22" ht="75">
      <c r="A289" s="11">
        <v>44734.232164351852</v>
      </c>
      <c r="B289" s="12" t="s">
        <v>21</v>
      </c>
      <c r="C289" s="12" t="s">
        <v>674</v>
      </c>
      <c r="D289" s="12" t="s">
        <v>675</v>
      </c>
      <c r="E289" s="17" t="s">
        <v>676</v>
      </c>
      <c r="F289" s="17" t="s">
        <v>677</v>
      </c>
      <c r="G289" s="15"/>
      <c r="H289" s="15"/>
      <c r="I289" s="3"/>
      <c r="J289" s="4"/>
      <c r="K289" s="4"/>
      <c r="L289" s="4"/>
      <c r="M289" s="4"/>
      <c r="N289" s="4"/>
      <c r="O289" s="4"/>
      <c r="P289" s="4"/>
      <c r="Q289" s="4"/>
      <c r="R289" s="4"/>
      <c r="S289" s="4"/>
      <c r="T289" s="4"/>
      <c r="U289" s="4"/>
      <c r="V289" s="4"/>
    </row>
    <row r="290" spans="1:22" ht="87.5">
      <c r="A290" s="11">
        <v>44734.232164351852</v>
      </c>
      <c r="B290" s="12" t="s">
        <v>21</v>
      </c>
      <c r="C290" s="12" t="s">
        <v>678</v>
      </c>
      <c r="D290" s="12" t="s">
        <v>679</v>
      </c>
      <c r="E290" s="17" t="s">
        <v>680</v>
      </c>
      <c r="F290" s="17" t="s">
        <v>681</v>
      </c>
      <c r="G290" s="15"/>
      <c r="H290" s="15"/>
      <c r="I290" s="3"/>
      <c r="J290" s="4"/>
      <c r="K290" s="4"/>
      <c r="L290" s="4"/>
      <c r="M290" s="4"/>
      <c r="N290" s="4"/>
      <c r="O290" s="4"/>
      <c r="P290" s="4"/>
      <c r="Q290" s="4"/>
      <c r="R290" s="4"/>
      <c r="S290" s="4"/>
      <c r="T290" s="4"/>
      <c r="U290" s="4"/>
      <c r="V290" s="4"/>
    </row>
    <row r="291" spans="1:22" ht="87.5">
      <c r="A291" s="11">
        <v>44734.232164351852</v>
      </c>
      <c r="B291" s="12" t="s">
        <v>14</v>
      </c>
      <c r="C291" s="12" t="s">
        <v>682</v>
      </c>
      <c r="D291" s="12" t="s">
        <v>683</v>
      </c>
      <c r="E291" s="17" t="s">
        <v>684</v>
      </c>
      <c r="F291" s="17" t="s">
        <v>685</v>
      </c>
      <c r="G291" s="17" t="s">
        <v>686</v>
      </c>
      <c r="H291" s="15"/>
      <c r="I291" s="3"/>
      <c r="J291" s="4"/>
      <c r="K291" s="4"/>
      <c r="L291" s="4"/>
      <c r="M291" s="4"/>
      <c r="N291" s="4"/>
      <c r="O291" s="4"/>
      <c r="P291" s="4"/>
      <c r="Q291" s="4"/>
      <c r="R291" s="4"/>
      <c r="S291" s="4"/>
      <c r="T291" s="4"/>
      <c r="U291" s="4"/>
      <c r="V291" s="4"/>
    </row>
    <row r="292" spans="1:22" ht="75">
      <c r="A292" s="11">
        <v>44734.232164351852</v>
      </c>
      <c r="B292" s="12" t="s">
        <v>14</v>
      </c>
      <c r="C292" s="12" t="s">
        <v>687</v>
      </c>
      <c r="D292" s="12" t="s">
        <v>688</v>
      </c>
      <c r="E292" s="17" t="s">
        <v>689</v>
      </c>
      <c r="F292" s="15"/>
      <c r="G292" s="15"/>
      <c r="H292" s="15"/>
      <c r="I292" s="3"/>
      <c r="J292" s="4"/>
      <c r="K292" s="4"/>
      <c r="L292" s="4"/>
      <c r="M292" s="4"/>
      <c r="N292" s="4"/>
      <c r="O292" s="4"/>
      <c r="P292" s="4"/>
      <c r="Q292" s="4"/>
      <c r="R292" s="4"/>
      <c r="S292" s="4"/>
      <c r="T292" s="4"/>
      <c r="U292" s="4"/>
      <c r="V292" s="4"/>
    </row>
    <row r="293" spans="1:22" ht="100">
      <c r="A293" s="11">
        <v>44734.232164351852</v>
      </c>
      <c r="B293" s="12" t="s">
        <v>14</v>
      </c>
      <c r="C293" s="12" t="s">
        <v>690</v>
      </c>
      <c r="D293" s="12" t="s">
        <v>691</v>
      </c>
      <c r="E293" s="17" t="s">
        <v>692</v>
      </c>
      <c r="F293" s="17" t="s">
        <v>693</v>
      </c>
      <c r="G293" s="15"/>
      <c r="H293" s="15"/>
      <c r="I293" s="3"/>
      <c r="J293" s="4"/>
      <c r="K293" s="4"/>
      <c r="L293" s="4"/>
      <c r="M293" s="4"/>
      <c r="N293" s="4"/>
      <c r="O293" s="4"/>
      <c r="P293" s="4"/>
      <c r="Q293" s="4"/>
      <c r="R293" s="4"/>
      <c r="S293" s="4"/>
      <c r="T293" s="4"/>
      <c r="U293" s="4"/>
      <c r="V293" s="4"/>
    </row>
    <row r="294" spans="1:22" ht="75">
      <c r="A294" s="11">
        <v>44734.232164351852</v>
      </c>
      <c r="B294" s="12" t="s">
        <v>5</v>
      </c>
      <c r="C294" s="12" t="s">
        <v>694</v>
      </c>
      <c r="D294" s="12" t="s">
        <v>695</v>
      </c>
      <c r="E294" s="17" t="s">
        <v>696</v>
      </c>
      <c r="F294" s="17" t="s">
        <v>697</v>
      </c>
      <c r="G294" s="15"/>
      <c r="H294" s="15"/>
      <c r="I294" s="3"/>
      <c r="J294" s="4"/>
      <c r="K294" s="4"/>
      <c r="L294" s="4"/>
      <c r="M294" s="4"/>
      <c r="N294" s="4"/>
      <c r="O294" s="4"/>
      <c r="P294" s="4"/>
      <c r="Q294" s="4"/>
      <c r="R294" s="4"/>
      <c r="S294" s="4"/>
      <c r="T294" s="4"/>
      <c r="U294" s="4"/>
      <c r="V294" s="4"/>
    </row>
    <row r="295" spans="1:22" ht="75">
      <c r="A295" s="11">
        <v>44734.232164351852</v>
      </c>
      <c r="B295" s="12" t="s">
        <v>5</v>
      </c>
      <c r="C295" s="12" t="s">
        <v>698</v>
      </c>
      <c r="D295" s="12" t="s">
        <v>699</v>
      </c>
      <c r="E295" s="17" t="s">
        <v>700</v>
      </c>
      <c r="F295" s="15"/>
      <c r="G295" s="15"/>
      <c r="H295" s="15"/>
      <c r="I295" s="3"/>
      <c r="J295" s="4"/>
      <c r="K295" s="4"/>
      <c r="L295" s="4"/>
      <c r="M295" s="4"/>
      <c r="N295" s="4"/>
      <c r="O295" s="4"/>
      <c r="P295" s="4"/>
      <c r="Q295" s="4"/>
      <c r="R295" s="4"/>
      <c r="S295" s="4"/>
      <c r="T295" s="4"/>
      <c r="U295" s="4"/>
      <c r="V295" s="4"/>
    </row>
    <row r="296" spans="1:22" ht="75">
      <c r="A296" s="11">
        <v>44734.232164351852</v>
      </c>
      <c r="B296" s="12" t="s">
        <v>5</v>
      </c>
      <c r="C296" s="12" t="s">
        <v>701</v>
      </c>
      <c r="D296" s="12" t="s">
        <v>702</v>
      </c>
      <c r="E296" s="17" t="s">
        <v>703</v>
      </c>
      <c r="F296" s="15"/>
      <c r="G296" s="15"/>
      <c r="H296" s="15"/>
      <c r="I296" s="3"/>
      <c r="J296" s="4"/>
      <c r="K296" s="4"/>
      <c r="L296" s="4"/>
      <c r="M296" s="4"/>
      <c r="N296" s="4"/>
      <c r="O296" s="4"/>
      <c r="P296" s="4"/>
      <c r="Q296" s="4"/>
      <c r="R296" s="4"/>
      <c r="S296" s="4"/>
      <c r="T296" s="4"/>
      <c r="U296" s="4"/>
      <c r="V296" s="4"/>
    </row>
    <row r="297" spans="1:22" ht="137.5">
      <c r="A297" s="11">
        <v>44734.232164351852</v>
      </c>
      <c r="B297" s="12" t="s">
        <v>14</v>
      </c>
      <c r="C297" s="12" t="s">
        <v>704</v>
      </c>
      <c r="D297" s="12" t="s">
        <v>705</v>
      </c>
      <c r="E297" s="17" t="s">
        <v>706</v>
      </c>
      <c r="F297" s="17" t="s">
        <v>707</v>
      </c>
      <c r="G297" s="15"/>
      <c r="H297" s="15"/>
      <c r="I297" s="3"/>
      <c r="J297" s="4"/>
      <c r="K297" s="4"/>
      <c r="L297" s="4"/>
      <c r="M297" s="4"/>
      <c r="N297" s="4"/>
      <c r="O297" s="4"/>
      <c r="P297" s="4"/>
      <c r="Q297" s="4"/>
      <c r="R297" s="4"/>
      <c r="S297" s="4"/>
      <c r="T297" s="4"/>
      <c r="U297" s="4"/>
      <c r="V297" s="4"/>
    </row>
    <row r="298" spans="1:22" ht="87.5">
      <c r="A298" s="11">
        <v>44734.232152777782</v>
      </c>
      <c r="B298" s="12" t="s">
        <v>24</v>
      </c>
      <c r="C298" s="12" t="s">
        <v>708</v>
      </c>
      <c r="D298" s="12" t="s">
        <v>709</v>
      </c>
      <c r="E298" s="17" t="s">
        <v>710</v>
      </c>
      <c r="F298" s="15"/>
      <c r="G298" s="15"/>
      <c r="H298" s="15"/>
      <c r="I298" s="3"/>
      <c r="J298" s="4"/>
      <c r="K298" s="4"/>
      <c r="L298" s="4"/>
      <c r="M298" s="4"/>
      <c r="N298" s="4"/>
      <c r="O298" s="4"/>
      <c r="P298" s="4"/>
      <c r="Q298" s="4"/>
      <c r="R298" s="4"/>
      <c r="S298" s="4"/>
      <c r="T298" s="4"/>
      <c r="U298" s="4"/>
      <c r="V298" s="4"/>
    </row>
    <row r="299" spans="1:22" ht="125">
      <c r="A299" s="11">
        <v>44734.232152777782</v>
      </c>
      <c r="B299" s="12" t="s">
        <v>32</v>
      </c>
      <c r="C299" s="12" t="s">
        <v>711</v>
      </c>
      <c r="D299" s="12" t="s">
        <v>712</v>
      </c>
      <c r="E299" s="17" t="s">
        <v>713</v>
      </c>
      <c r="F299" s="17" t="s">
        <v>714</v>
      </c>
      <c r="G299" s="15"/>
      <c r="H299" s="15"/>
      <c r="I299" s="3"/>
      <c r="J299" s="4"/>
      <c r="K299" s="4"/>
      <c r="L299" s="4"/>
      <c r="M299" s="4"/>
      <c r="N299" s="4"/>
      <c r="O299" s="4"/>
      <c r="P299" s="4"/>
      <c r="Q299" s="4"/>
      <c r="R299" s="4"/>
      <c r="S299" s="4"/>
      <c r="T299" s="4"/>
      <c r="U299" s="4"/>
      <c r="V299" s="4"/>
    </row>
    <row r="300" spans="1:22" ht="175">
      <c r="A300" s="11">
        <v>44734.232152777782</v>
      </c>
      <c r="B300" s="12" t="s">
        <v>24</v>
      </c>
      <c r="C300" s="12" t="s">
        <v>715</v>
      </c>
      <c r="D300" s="12" t="s">
        <v>716</v>
      </c>
      <c r="E300" s="17" t="s">
        <v>717</v>
      </c>
      <c r="F300" s="17" t="s">
        <v>718</v>
      </c>
      <c r="G300" s="15"/>
      <c r="H300" s="15"/>
      <c r="I300" s="3"/>
      <c r="J300" s="4"/>
      <c r="K300" s="4"/>
      <c r="L300" s="4"/>
      <c r="M300" s="4"/>
      <c r="N300" s="4"/>
      <c r="O300" s="4"/>
      <c r="P300" s="4"/>
      <c r="Q300" s="4"/>
      <c r="R300" s="4"/>
      <c r="S300" s="4"/>
      <c r="T300" s="4"/>
      <c r="U300" s="4"/>
      <c r="V300" s="4"/>
    </row>
    <row r="301" spans="1:22" ht="75">
      <c r="A301" s="11">
        <v>44734.232152777782</v>
      </c>
      <c r="B301" s="12" t="s">
        <v>32</v>
      </c>
      <c r="C301" s="12" t="s">
        <v>719</v>
      </c>
      <c r="D301" s="12" t="s">
        <v>720</v>
      </c>
      <c r="E301" s="17" t="s">
        <v>721</v>
      </c>
      <c r="F301" s="17" t="s">
        <v>722</v>
      </c>
      <c r="G301" s="17" t="s">
        <v>723</v>
      </c>
      <c r="H301" s="15"/>
      <c r="I301" s="3"/>
      <c r="J301" s="4"/>
      <c r="K301" s="4"/>
      <c r="L301" s="4"/>
      <c r="M301" s="4"/>
      <c r="N301" s="4"/>
      <c r="O301" s="4"/>
      <c r="P301" s="4"/>
      <c r="Q301" s="4"/>
      <c r="R301" s="4"/>
      <c r="S301" s="4"/>
      <c r="T301" s="4"/>
      <c r="U301" s="4"/>
      <c r="V301" s="4"/>
    </row>
    <row r="302" spans="1:22" ht="75">
      <c r="A302" s="11">
        <v>44734.232152777782</v>
      </c>
      <c r="B302" s="12" t="s">
        <v>32</v>
      </c>
      <c r="C302" s="12" t="s">
        <v>724</v>
      </c>
      <c r="D302" s="12" t="s">
        <v>725</v>
      </c>
      <c r="E302" s="17" t="s">
        <v>726</v>
      </c>
      <c r="F302" s="15"/>
      <c r="G302" s="15"/>
      <c r="H302" s="15"/>
      <c r="I302" s="3"/>
      <c r="J302" s="4"/>
      <c r="K302" s="4"/>
      <c r="L302" s="4"/>
      <c r="M302" s="4"/>
      <c r="N302" s="4"/>
      <c r="O302" s="4"/>
      <c r="P302" s="4"/>
      <c r="Q302" s="4"/>
      <c r="R302" s="4"/>
      <c r="S302" s="4"/>
      <c r="T302" s="4"/>
      <c r="U302" s="4"/>
      <c r="V302" s="4"/>
    </row>
    <row r="303" spans="1:22" ht="112.5">
      <c r="A303" s="11">
        <v>44734.232152777782</v>
      </c>
      <c r="B303" s="12" t="s">
        <v>32</v>
      </c>
      <c r="C303" s="12" t="s">
        <v>727</v>
      </c>
      <c r="D303" s="12" t="s">
        <v>728</v>
      </c>
      <c r="E303" s="17" t="s">
        <v>729</v>
      </c>
      <c r="F303" s="15"/>
      <c r="G303" s="15"/>
      <c r="H303" s="15"/>
      <c r="I303" s="3"/>
      <c r="J303" s="4"/>
      <c r="K303" s="4"/>
      <c r="L303" s="4"/>
      <c r="M303" s="4"/>
      <c r="N303" s="4"/>
      <c r="O303" s="4"/>
      <c r="P303" s="4"/>
      <c r="Q303" s="4"/>
      <c r="R303" s="4"/>
      <c r="S303" s="4"/>
      <c r="T303" s="4"/>
      <c r="U303" s="4"/>
      <c r="V303" s="4"/>
    </row>
    <row r="304" spans="1:22" ht="87.5">
      <c r="A304" s="11">
        <v>44734.232152777782</v>
      </c>
      <c r="B304" s="12" t="s">
        <v>32</v>
      </c>
      <c r="C304" s="12" t="s">
        <v>730</v>
      </c>
      <c r="D304" s="12" t="s">
        <v>731</v>
      </c>
      <c r="E304" s="17" t="s">
        <v>732</v>
      </c>
      <c r="F304" s="15"/>
      <c r="G304" s="15"/>
      <c r="H304" s="15"/>
      <c r="I304" s="3"/>
      <c r="J304" s="4"/>
      <c r="K304" s="4"/>
      <c r="L304" s="4"/>
      <c r="M304" s="4"/>
      <c r="N304" s="4"/>
      <c r="O304" s="4"/>
      <c r="P304" s="4"/>
      <c r="Q304" s="4"/>
      <c r="R304" s="4"/>
      <c r="S304" s="4"/>
      <c r="T304" s="4"/>
      <c r="U304" s="4"/>
      <c r="V304" s="4"/>
    </row>
    <row r="305" spans="1:22" ht="75">
      <c r="A305" s="11">
        <v>44734.232152777782</v>
      </c>
      <c r="B305" s="12" t="s">
        <v>29</v>
      </c>
      <c r="C305" s="12" t="s">
        <v>733</v>
      </c>
      <c r="D305" s="12" t="s">
        <v>734</v>
      </c>
      <c r="E305" s="17" t="s">
        <v>735</v>
      </c>
      <c r="F305" s="15"/>
      <c r="G305" s="15"/>
      <c r="H305" s="15"/>
      <c r="I305" s="3"/>
      <c r="J305" s="4"/>
      <c r="K305" s="4"/>
      <c r="L305" s="4"/>
      <c r="M305" s="4"/>
      <c r="N305" s="4"/>
      <c r="O305" s="4"/>
      <c r="P305" s="4"/>
      <c r="Q305" s="4"/>
      <c r="R305" s="4"/>
      <c r="S305" s="4"/>
      <c r="T305" s="4"/>
      <c r="U305" s="4"/>
      <c r="V305" s="4"/>
    </row>
    <row r="306" spans="1:22" ht="100">
      <c r="A306" s="11">
        <v>44734.232152777782</v>
      </c>
      <c r="B306" s="12" t="s">
        <v>29</v>
      </c>
      <c r="C306" s="12" t="s">
        <v>736</v>
      </c>
      <c r="D306" s="12" t="s">
        <v>737</v>
      </c>
      <c r="E306" s="17" t="s">
        <v>738</v>
      </c>
      <c r="F306" s="17" t="s">
        <v>739</v>
      </c>
      <c r="G306" s="15"/>
      <c r="H306" s="15"/>
      <c r="I306" s="3"/>
      <c r="J306" s="4"/>
      <c r="K306" s="4"/>
      <c r="L306" s="4"/>
      <c r="M306" s="4"/>
      <c r="N306" s="4"/>
      <c r="O306" s="4"/>
      <c r="P306" s="4"/>
      <c r="Q306" s="4"/>
      <c r="R306" s="4"/>
      <c r="S306" s="4"/>
      <c r="T306" s="4"/>
      <c r="U306" s="4"/>
      <c r="V306" s="4"/>
    </row>
    <row r="307" spans="1:22" ht="100">
      <c r="A307" s="11">
        <v>44734.232152777782</v>
      </c>
      <c r="B307" s="12" t="s">
        <v>24</v>
      </c>
      <c r="C307" s="12" t="s">
        <v>740</v>
      </c>
      <c r="D307" s="12" t="s">
        <v>741</v>
      </c>
      <c r="E307" s="17" t="s">
        <v>742</v>
      </c>
      <c r="F307" s="17" t="s">
        <v>743</v>
      </c>
      <c r="G307" s="15"/>
      <c r="H307" s="15"/>
      <c r="I307" s="3"/>
      <c r="J307" s="4"/>
      <c r="K307" s="4"/>
      <c r="L307" s="4"/>
      <c r="M307" s="4"/>
      <c r="N307" s="4"/>
      <c r="O307" s="4"/>
      <c r="P307" s="4"/>
      <c r="Q307" s="4"/>
      <c r="R307" s="4"/>
      <c r="S307" s="4"/>
      <c r="T307" s="4"/>
      <c r="U307" s="4"/>
      <c r="V307" s="4"/>
    </row>
    <row r="308" spans="1:22" ht="62.5">
      <c r="A308" s="11">
        <v>44704.25</v>
      </c>
      <c r="B308" s="12" t="s">
        <v>32</v>
      </c>
      <c r="C308" s="12" t="s">
        <v>744</v>
      </c>
      <c r="D308" s="12" t="s">
        <v>745</v>
      </c>
      <c r="E308" s="17" t="s">
        <v>746</v>
      </c>
      <c r="F308" s="15"/>
      <c r="G308" s="15"/>
      <c r="H308" s="15"/>
      <c r="I308" s="3"/>
      <c r="J308" s="4"/>
      <c r="K308" s="4"/>
      <c r="L308" s="4"/>
      <c r="M308" s="4"/>
      <c r="N308" s="4"/>
      <c r="O308" s="4"/>
      <c r="P308" s="4"/>
      <c r="Q308" s="4"/>
      <c r="R308" s="4"/>
      <c r="S308" s="4"/>
      <c r="T308" s="4"/>
      <c r="U308" s="4"/>
      <c r="V308" s="4"/>
    </row>
    <row r="309" spans="1:22" ht="87.5">
      <c r="A309" s="11">
        <v>44704.25</v>
      </c>
      <c r="B309" s="12" t="s">
        <v>32</v>
      </c>
      <c r="C309" s="12" t="s">
        <v>747</v>
      </c>
      <c r="D309" s="12" t="s">
        <v>748</v>
      </c>
      <c r="E309" s="17" t="s">
        <v>749</v>
      </c>
      <c r="F309" s="17" t="s">
        <v>750</v>
      </c>
      <c r="G309" s="17" t="s">
        <v>751</v>
      </c>
      <c r="H309" s="15"/>
      <c r="I309" s="3"/>
      <c r="J309" s="4"/>
      <c r="K309" s="4"/>
      <c r="L309" s="4"/>
      <c r="M309" s="4"/>
      <c r="N309" s="4"/>
      <c r="O309" s="4"/>
      <c r="P309" s="4"/>
      <c r="Q309" s="4"/>
      <c r="R309" s="4"/>
      <c r="S309" s="4"/>
      <c r="T309" s="4"/>
      <c r="U309" s="4"/>
      <c r="V309" s="4"/>
    </row>
    <row r="310" spans="1:22" ht="50">
      <c r="A310" s="11">
        <v>44704.25</v>
      </c>
      <c r="B310" s="12" t="s">
        <v>32</v>
      </c>
      <c r="C310" s="12" t="s">
        <v>752</v>
      </c>
      <c r="D310" s="12" t="s">
        <v>753</v>
      </c>
      <c r="E310" s="17" t="s">
        <v>754</v>
      </c>
      <c r="F310" s="15"/>
      <c r="G310" s="15"/>
      <c r="H310" s="15"/>
      <c r="I310" s="3"/>
      <c r="J310" s="4"/>
      <c r="K310" s="4"/>
      <c r="L310" s="4"/>
      <c r="M310" s="4"/>
      <c r="N310" s="4"/>
      <c r="O310" s="4"/>
      <c r="P310" s="4"/>
      <c r="Q310" s="4"/>
      <c r="R310" s="4"/>
      <c r="S310" s="4"/>
      <c r="T310" s="4"/>
      <c r="U310" s="4"/>
      <c r="V310" s="4"/>
    </row>
    <row r="311" spans="1:22" ht="87.5">
      <c r="A311" s="11">
        <v>44704.25</v>
      </c>
      <c r="B311" s="12" t="s">
        <v>32</v>
      </c>
      <c r="C311" s="12" t="s">
        <v>755</v>
      </c>
      <c r="D311" s="12" t="s">
        <v>756</v>
      </c>
      <c r="E311" s="17" t="s">
        <v>757</v>
      </c>
      <c r="F311" s="15"/>
      <c r="G311" s="15"/>
      <c r="H311" s="15"/>
      <c r="I311" s="3"/>
      <c r="J311" s="4"/>
      <c r="K311" s="4"/>
      <c r="L311" s="4"/>
      <c r="M311" s="4"/>
      <c r="N311" s="4"/>
      <c r="O311" s="4"/>
      <c r="P311" s="4"/>
      <c r="Q311" s="4"/>
      <c r="R311" s="4"/>
      <c r="S311" s="4"/>
      <c r="T311" s="4"/>
      <c r="U311" s="4"/>
      <c r="V311" s="4"/>
    </row>
    <row r="312" spans="1:22" ht="75">
      <c r="A312" s="11">
        <v>44704.25</v>
      </c>
      <c r="B312" s="12" t="s">
        <v>29</v>
      </c>
      <c r="C312" s="12" t="s">
        <v>758</v>
      </c>
      <c r="D312" s="12" t="s">
        <v>759</v>
      </c>
      <c r="E312" s="17" t="s">
        <v>760</v>
      </c>
      <c r="F312" s="17" t="s">
        <v>761</v>
      </c>
      <c r="G312" s="15"/>
      <c r="H312" s="15"/>
      <c r="I312" s="3"/>
      <c r="J312" s="4"/>
      <c r="K312" s="4"/>
      <c r="L312" s="4"/>
      <c r="M312" s="4"/>
      <c r="N312" s="4"/>
      <c r="O312" s="4"/>
      <c r="P312" s="4"/>
      <c r="Q312" s="4"/>
      <c r="R312" s="4"/>
      <c r="S312" s="4"/>
      <c r="T312" s="4"/>
      <c r="U312" s="4"/>
      <c r="V312" s="4"/>
    </row>
    <row r="313" spans="1:22" ht="62.5">
      <c r="A313" s="11">
        <v>44704.25</v>
      </c>
      <c r="B313" s="12" t="s">
        <v>29</v>
      </c>
      <c r="C313" s="12" t="s">
        <v>762</v>
      </c>
      <c r="D313" s="12" t="s">
        <v>763</v>
      </c>
      <c r="E313" s="17" t="s">
        <v>764</v>
      </c>
      <c r="F313" s="15"/>
      <c r="G313" s="15"/>
      <c r="H313" s="15"/>
      <c r="I313" s="3"/>
      <c r="J313" s="4"/>
      <c r="K313" s="4"/>
      <c r="L313" s="4"/>
      <c r="M313" s="4"/>
      <c r="N313" s="4"/>
      <c r="O313" s="4"/>
      <c r="P313" s="4"/>
      <c r="Q313" s="4"/>
      <c r="R313" s="4"/>
      <c r="S313" s="4"/>
      <c r="T313" s="4"/>
      <c r="U313" s="4"/>
      <c r="V313" s="4"/>
    </row>
    <row r="314" spans="1:22" ht="100">
      <c r="A314" s="11">
        <v>44704.25</v>
      </c>
      <c r="B314" s="12" t="s">
        <v>29</v>
      </c>
      <c r="C314" s="12" t="s">
        <v>765</v>
      </c>
      <c r="D314" s="12" t="s">
        <v>766</v>
      </c>
      <c r="E314" s="17" t="s">
        <v>767</v>
      </c>
      <c r="F314" s="15"/>
      <c r="G314" s="15"/>
      <c r="H314" s="15"/>
      <c r="I314" s="3"/>
      <c r="J314" s="4"/>
      <c r="K314" s="4"/>
      <c r="L314" s="4"/>
      <c r="M314" s="4"/>
      <c r="N314" s="4"/>
      <c r="O314" s="4"/>
      <c r="P314" s="4"/>
      <c r="Q314" s="4"/>
      <c r="R314" s="4"/>
      <c r="S314" s="4"/>
      <c r="T314" s="4"/>
      <c r="U314" s="4"/>
      <c r="V314" s="4"/>
    </row>
    <row r="315" spans="1:22" ht="75">
      <c r="A315" s="11">
        <v>44704.25</v>
      </c>
      <c r="B315" s="12" t="s">
        <v>24</v>
      </c>
      <c r="C315" s="12" t="s">
        <v>768</v>
      </c>
      <c r="D315" s="12" t="s">
        <v>769</v>
      </c>
      <c r="E315" s="17" t="s">
        <v>770</v>
      </c>
      <c r="F315" s="15"/>
      <c r="G315" s="15"/>
      <c r="H315" s="15"/>
      <c r="I315" s="3"/>
      <c r="J315" s="4"/>
      <c r="K315" s="4"/>
      <c r="L315" s="4"/>
      <c r="M315" s="4"/>
      <c r="N315" s="4"/>
      <c r="O315" s="4"/>
      <c r="P315" s="4"/>
      <c r="Q315" s="4"/>
      <c r="R315" s="4"/>
      <c r="S315" s="4"/>
      <c r="T315" s="4"/>
      <c r="U315" s="4"/>
      <c r="V315" s="4"/>
    </row>
    <row r="316" spans="1:22" ht="75">
      <c r="A316" s="11">
        <v>44704.25</v>
      </c>
      <c r="B316" s="12" t="s">
        <v>24</v>
      </c>
      <c r="C316" s="12" t="s">
        <v>771</v>
      </c>
      <c r="D316" s="12" t="s">
        <v>772</v>
      </c>
      <c r="E316" s="17" t="s">
        <v>773</v>
      </c>
      <c r="F316" s="15"/>
      <c r="G316" s="15"/>
      <c r="H316" s="15"/>
      <c r="I316" s="3"/>
      <c r="J316" s="4"/>
      <c r="K316" s="4"/>
      <c r="L316" s="4"/>
      <c r="M316" s="4"/>
      <c r="N316" s="4"/>
      <c r="O316" s="4"/>
      <c r="P316" s="4"/>
      <c r="Q316" s="4"/>
      <c r="R316" s="4"/>
      <c r="S316" s="4"/>
      <c r="T316" s="4"/>
      <c r="U316" s="4"/>
      <c r="V316" s="4"/>
    </row>
    <row r="317" spans="1:22" ht="75">
      <c r="A317" s="11">
        <v>44704.25</v>
      </c>
      <c r="B317" s="12" t="s">
        <v>24</v>
      </c>
      <c r="C317" s="12" t="s">
        <v>774</v>
      </c>
      <c r="D317" s="12" t="s">
        <v>775</v>
      </c>
      <c r="E317" s="17" t="s">
        <v>776</v>
      </c>
      <c r="F317" s="17" t="s">
        <v>777</v>
      </c>
      <c r="G317" s="17" t="s">
        <v>778</v>
      </c>
      <c r="H317" s="15"/>
      <c r="I317" s="3"/>
      <c r="J317" s="4"/>
      <c r="K317" s="4"/>
      <c r="L317" s="4"/>
      <c r="M317" s="4"/>
      <c r="N317" s="4"/>
      <c r="O317" s="4"/>
      <c r="P317" s="4"/>
      <c r="Q317" s="4"/>
      <c r="R317" s="4"/>
      <c r="S317" s="4"/>
      <c r="T317" s="4"/>
      <c r="U317" s="4"/>
      <c r="V317" s="4"/>
    </row>
    <row r="318" spans="1:22" ht="87.5">
      <c r="A318" s="11">
        <v>44704.25</v>
      </c>
      <c r="B318" s="12" t="s">
        <v>21</v>
      </c>
      <c r="C318" s="12" t="s">
        <v>779</v>
      </c>
      <c r="D318" s="12" t="s">
        <v>780</v>
      </c>
      <c r="E318" s="17" t="s">
        <v>781</v>
      </c>
      <c r="F318" s="17" t="s">
        <v>782</v>
      </c>
      <c r="G318" s="17" t="s">
        <v>783</v>
      </c>
      <c r="H318" s="15"/>
      <c r="I318" s="3"/>
      <c r="J318" s="4"/>
      <c r="K318" s="4"/>
      <c r="L318" s="4"/>
      <c r="M318" s="4"/>
      <c r="N318" s="4"/>
      <c r="O318" s="4"/>
      <c r="P318" s="4"/>
      <c r="Q318" s="4"/>
      <c r="R318" s="4"/>
      <c r="S318" s="4"/>
      <c r="T318" s="4"/>
      <c r="U318" s="4"/>
      <c r="V318" s="4"/>
    </row>
    <row r="319" spans="1:22" ht="62.5">
      <c r="A319" s="11">
        <v>44704.25</v>
      </c>
      <c r="B319" s="12" t="s">
        <v>21</v>
      </c>
      <c r="C319" s="12" t="s">
        <v>784</v>
      </c>
      <c r="D319" s="12" t="s">
        <v>785</v>
      </c>
      <c r="E319" s="17" t="s">
        <v>786</v>
      </c>
      <c r="F319" s="17" t="s">
        <v>787</v>
      </c>
      <c r="G319" s="15"/>
      <c r="H319" s="15"/>
      <c r="I319" s="3"/>
      <c r="J319" s="4"/>
      <c r="K319" s="4"/>
      <c r="L319" s="4"/>
      <c r="M319" s="4"/>
      <c r="N319" s="4"/>
      <c r="O319" s="4"/>
      <c r="P319" s="4"/>
      <c r="Q319" s="4"/>
      <c r="R319" s="4"/>
      <c r="S319" s="4"/>
      <c r="T319" s="4"/>
      <c r="U319" s="4"/>
      <c r="V319" s="4"/>
    </row>
    <row r="320" spans="1:22" ht="62.5">
      <c r="A320" s="11">
        <v>44704.25</v>
      </c>
      <c r="B320" s="12" t="s">
        <v>21</v>
      </c>
      <c r="C320" s="12" t="s">
        <v>788</v>
      </c>
      <c r="D320" s="12" t="s">
        <v>789</v>
      </c>
      <c r="E320" s="17" t="s">
        <v>790</v>
      </c>
      <c r="F320" s="15"/>
      <c r="G320" s="15"/>
      <c r="H320" s="15"/>
      <c r="I320" s="3"/>
      <c r="J320" s="4"/>
      <c r="K320" s="4"/>
      <c r="L320" s="4"/>
      <c r="M320" s="4"/>
      <c r="N320" s="4"/>
      <c r="O320" s="4"/>
      <c r="P320" s="4"/>
      <c r="Q320" s="4"/>
      <c r="R320" s="4"/>
      <c r="S320" s="4"/>
      <c r="T320" s="4"/>
      <c r="U320" s="4"/>
      <c r="V320" s="4"/>
    </row>
    <row r="321" spans="1:22" ht="87.5">
      <c r="A321" s="11">
        <v>44704.25</v>
      </c>
      <c r="B321" s="12" t="s">
        <v>14</v>
      </c>
      <c r="C321" s="12" t="s">
        <v>791</v>
      </c>
      <c r="D321" s="12" t="s">
        <v>792</v>
      </c>
      <c r="E321" s="17" t="s">
        <v>793</v>
      </c>
      <c r="F321" s="17" t="s">
        <v>794</v>
      </c>
      <c r="G321" s="15"/>
      <c r="H321" s="15"/>
      <c r="I321" s="3"/>
      <c r="J321" s="4"/>
      <c r="K321" s="4"/>
      <c r="L321" s="4"/>
      <c r="M321" s="4"/>
      <c r="N321" s="4"/>
      <c r="O321" s="4"/>
      <c r="P321" s="4"/>
      <c r="Q321" s="4"/>
      <c r="R321" s="4"/>
      <c r="S321" s="4"/>
      <c r="T321" s="4"/>
      <c r="U321" s="4"/>
      <c r="V321" s="4"/>
    </row>
    <row r="322" spans="1:22" ht="62.5">
      <c r="A322" s="11">
        <v>44704.25</v>
      </c>
      <c r="B322" s="12" t="s">
        <v>14</v>
      </c>
      <c r="C322" s="12" t="s">
        <v>795</v>
      </c>
      <c r="D322" s="12" t="s">
        <v>796</v>
      </c>
      <c r="E322" s="17" t="s">
        <v>797</v>
      </c>
      <c r="F322" s="15"/>
      <c r="G322" s="15"/>
      <c r="H322" s="15"/>
      <c r="I322" s="3"/>
      <c r="J322" s="4"/>
      <c r="K322" s="4"/>
      <c r="L322" s="4"/>
      <c r="M322" s="4"/>
      <c r="N322" s="4"/>
      <c r="O322" s="4"/>
      <c r="P322" s="4"/>
      <c r="Q322" s="4"/>
      <c r="R322" s="4"/>
      <c r="S322" s="4"/>
      <c r="T322" s="4"/>
      <c r="U322" s="4"/>
      <c r="V322" s="4"/>
    </row>
    <row r="323" spans="1:22" ht="75">
      <c r="A323" s="11">
        <v>44704.25</v>
      </c>
      <c r="B323" s="12" t="s">
        <v>14</v>
      </c>
      <c r="C323" s="12" t="s">
        <v>798</v>
      </c>
      <c r="D323" s="12" t="s">
        <v>799</v>
      </c>
      <c r="E323" s="17" t="s">
        <v>800</v>
      </c>
      <c r="F323" s="15"/>
      <c r="G323" s="15"/>
      <c r="H323" s="15"/>
      <c r="I323" s="3"/>
      <c r="J323" s="4"/>
      <c r="K323" s="4"/>
      <c r="L323" s="4"/>
      <c r="M323" s="4"/>
      <c r="N323" s="4"/>
      <c r="O323" s="4"/>
      <c r="P323" s="4"/>
      <c r="Q323" s="4"/>
      <c r="R323" s="4"/>
      <c r="S323" s="4"/>
      <c r="T323" s="4"/>
      <c r="U323" s="4"/>
      <c r="V323" s="4"/>
    </row>
    <row r="324" spans="1:22" ht="87.5">
      <c r="A324" s="11">
        <v>44704.25</v>
      </c>
      <c r="B324" s="12" t="s">
        <v>5</v>
      </c>
      <c r="C324" s="12" t="s">
        <v>801</v>
      </c>
      <c r="D324" s="12" t="s">
        <v>802</v>
      </c>
      <c r="E324" s="17" t="s">
        <v>803</v>
      </c>
      <c r="F324" s="17" t="s">
        <v>804</v>
      </c>
      <c r="G324" s="15"/>
      <c r="H324" s="15"/>
      <c r="I324" s="3"/>
      <c r="J324" s="4"/>
      <c r="K324" s="4"/>
      <c r="L324" s="4"/>
      <c r="M324" s="4"/>
      <c r="N324" s="4"/>
      <c r="O324" s="4"/>
      <c r="P324" s="4"/>
      <c r="Q324" s="4"/>
      <c r="R324" s="4"/>
      <c r="S324" s="4"/>
      <c r="T324" s="4"/>
      <c r="U324" s="4"/>
      <c r="V324" s="4"/>
    </row>
    <row r="325" spans="1:22" ht="75">
      <c r="A325" s="11">
        <v>44704.25</v>
      </c>
      <c r="B325" s="12" t="s">
        <v>5</v>
      </c>
      <c r="C325" s="12" t="s">
        <v>805</v>
      </c>
      <c r="D325" s="12" t="s">
        <v>806</v>
      </c>
      <c r="E325" s="17" t="s">
        <v>807</v>
      </c>
      <c r="F325" s="17" t="s">
        <v>808</v>
      </c>
      <c r="G325" s="15"/>
      <c r="H325" s="15"/>
      <c r="I325" s="3"/>
      <c r="J325" s="4"/>
      <c r="K325" s="4"/>
      <c r="L325" s="4"/>
      <c r="M325" s="4"/>
      <c r="N325" s="4"/>
      <c r="O325" s="4"/>
      <c r="P325" s="4"/>
      <c r="Q325" s="4"/>
      <c r="R325" s="4"/>
      <c r="S325" s="4"/>
      <c r="T325" s="4"/>
      <c r="U325" s="4"/>
      <c r="V325" s="4"/>
    </row>
    <row r="326" spans="1:22" ht="75">
      <c r="A326" s="11">
        <v>44704.25</v>
      </c>
      <c r="B326" s="12" t="s">
        <v>5</v>
      </c>
      <c r="C326" s="12" t="s">
        <v>809</v>
      </c>
      <c r="D326" s="12" t="s">
        <v>810</v>
      </c>
      <c r="E326" s="17" t="s">
        <v>811</v>
      </c>
      <c r="F326" s="17" t="s">
        <v>812</v>
      </c>
      <c r="G326" s="15"/>
      <c r="H326" s="15"/>
      <c r="I326" s="3"/>
      <c r="J326" s="4"/>
      <c r="K326" s="4"/>
      <c r="L326" s="4"/>
      <c r="M326" s="4"/>
      <c r="N326" s="4"/>
      <c r="O326" s="4"/>
      <c r="P326" s="4"/>
      <c r="Q326" s="4"/>
      <c r="R326" s="4"/>
      <c r="S326" s="4"/>
      <c r="T326" s="4"/>
      <c r="U326" s="4"/>
      <c r="V326" s="4"/>
    </row>
    <row r="327" spans="1:22" ht="87.5">
      <c r="A327" s="11">
        <v>44676.644479166665</v>
      </c>
      <c r="B327" s="12" t="s">
        <v>21</v>
      </c>
      <c r="C327" s="12" t="s">
        <v>813</v>
      </c>
      <c r="D327" s="12" t="s">
        <v>814</v>
      </c>
      <c r="E327" s="17" t="s">
        <v>815</v>
      </c>
      <c r="F327" s="15"/>
      <c r="G327" s="15"/>
      <c r="H327" s="15"/>
      <c r="I327" s="3"/>
      <c r="J327" s="4"/>
      <c r="K327" s="4"/>
      <c r="L327" s="4"/>
      <c r="M327" s="4"/>
      <c r="N327" s="4"/>
      <c r="O327" s="4"/>
      <c r="P327" s="4"/>
      <c r="Q327" s="4"/>
      <c r="R327" s="4"/>
      <c r="S327" s="4"/>
      <c r="T327" s="4"/>
      <c r="U327" s="4"/>
      <c r="V327" s="4"/>
    </row>
    <row r="328" spans="1:22" ht="87.5">
      <c r="A328" s="11">
        <v>44676.644479166665</v>
      </c>
      <c r="B328" s="12" t="s">
        <v>5</v>
      </c>
      <c r="C328" s="12" t="s">
        <v>816</v>
      </c>
      <c r="D328" s="12" t="s">
        <v>817</v>
      </c>
      <c r="E328" s="17" t="s">
        <v>818</v>
      </c>
      <c r="F328" s="15"/>
      <c r="G328" s="15"/>
      <c r="H328" s="15"/>
      <c r="I328" s="3"/>
      <c r="J328" s="4"/>
      <c r="K328" s="4"/>
      <c r="L328" s="4"/>
      <c r="M328" s="4"/>
      <c r="N328" s="4"/>
      <c r="O328" s="4"/>
      <c r="P328" s="4"/>
      <c r="Q328" s="4"/>
      <c r="R328" s="4"/>
      <c r="S328" s="4"/>
      <c r="T328" s="4"/>
      <c r="U328" s="4"/>
      <c r="V328" s="4"/>
    </row>
    <row r="329" spans="1:22" ht="75">
      <c r="A329" s="11">
        <v>44676.644479166665</v>
      </c>
      <c r="B329" s="12" t="s">
        <v>5</v>
      </c>
      <c r="C329" s="12" t="s">
        <v>819</v>
      </c>
      <c r="D329" s="12" t="s">
        <v>820</v>
      </c>
      <c r="E329" s="17" t="s">
        <v>821</v>
      </c>
      <c r="F329" s="17" t="s">
        <v>822</v>
      </c>
      <c r="G329" s="15"/>
      <c r="H329" s="15"/>
      <c r="I329" s="3"/>
      <c r="J329" s="4"/>
      <c r="K329" s="4"/>
      <c r="L329" s="4"/>
      <c r="M329" s="4"/>
      <c r="N329" s="4"/>
      <c r="O329" s="4"/>
      <c r="P329" s="4"/>
      <c r="Q329" s="4"/>
      <c r="R329" s="4"/>
      <c r="S329" s="4"/>
      <c r="T329" s="4"/>
      <c r="U329" s="4"/>
      <c r="V329" s="4"/>
    </row>
    <row r="330" spans="1:22" ht="75">
      <c r="A330" s="11">
        <v>44676.644479166665</v>
      </c>
      <c r="B330" s="12" t="s">
        <v>29</v>
      </c>
      <c r="C330" s="12" t="s">
        <v>823</v>
      </c>
      <c r="D330" s="12" t="s">
        <v>824</v>
      </c>
      <c r="E330" s="17" t="s">
        <v>825</v>
      </c>
      <c r="F330" s="17" t="s">
        <v>826</v>
      </c>
      <c r="G330" s="15"/>
      <c r="H330" s="15"/>
      <c r="I330" s="3"/>
      <c r="J330" s="4"/>
      <c r="K330" s="4"/>
      <c r="L330" s="4"/>
      <c r="M330" s="4"/>
      <c r="N330" s="4"/>
      <c r="O330" s="4"/>
      <c r="P330" s="4"/>
      <c r="Q330" s="4"/>
      <c r="R330" s="4"/>
      <c r="S330" s="4"/>
      <c r="T330" s="4"/>
      <c r="U330" s="4"/>
      <c r="V330" s="4"/>
    </row>
    <row r="331" spans="1:22" ht="75">
      <c r="A331" s="11">
        <v>44676.644479166665</v>
      </c>
      <c r="B331" s="12" t="s">
        <v>29</v>
      </c>
      <c r="C331" s="12" t="s">
        <v>827</v>
      </c>
      <c r="D331" s="12" t="s">
        <v>828</v>
      </c>
      <c r="E331" s="17" t="s">
        <v>829</v>
      </c>
      <c r="F331" s="15"/>
      <c r="G331" s="15"/>
      <c r="H331" s="15"/>
      <c r="I331" s="3"/>
      <c r="J331" s="4"/>
      <c r="K331" s="4"/>
      <c r="L331" s="4"/>
      <c r="M331" s="4"/>
      <c r="N331" s="4"/>
      <c r="O331" s="4"/>
      <c r="P331" s="4"/>
      <c r="Q331" s="4"/>
      <c r="R331" s="4"/>
      <c r="S331" s="4"/>
      <c r="T331" s="4"/>
      <c r="U331" s="4"/>
      <c r="V331" s="4"/>
    </row>
    <row r="332" spans="1:22" ht="112.5">
      <c r="A332" s="11">
        <v>44676.644479166665</v>
      </c>
      <c r="B332" s="12" t="s">
        <v>14</v>
      </c>
      <c r="C332" s="12" t="s">
        <v>830</v>
      </c>
      <c r="D332" s="12" t="s">
        <v>831</v>
      </c>
      <c r="E332" s="17" t="s">
        <v>832</v>
      </c>
      <c r="F332" s="15"/>
      <c r="G332" s="15"/>
      <c r="H332" s="15"/>
      <c r="I332" s="3"/>
      <c r="J332" s="4"/>
      <c r="K332" s="4"/>
      <c r="L332" s="4"/>
      <c r="M332" s="4"/>
      <c r="N332" s="4"/>
      <c r="O332" s="4"/>
      <c r="P332" s="4"/>
      <c r="Q332" s="4"/>
      <c r="R332" s="4"/>
      <c r="S332" s="4"/>
      <c r="T332" s="4"/>
      <c r="U332" s="4"/>
      <c r="V332" s="4"/>
    </row>
    <row r="333" spans="1:22" ht="87.5">
      <c r="A333" s="11">
        <v>44676.644479166665</v>
      </c>
      <c r="B333" s="12" t="s">
        <v>14</v>
      </c>
      <c r="C333" s="12" t="s">
        <v>833</v>
      </c>
      <c r="D333" s="12" t="s">
        <v>834</v>
      </c>
      <c r="E333" s="17" t="s">
        <v>835</v>
      </c>
      <c r="F333" s="15"/>
      <c r="G333" s="15"/>
      <c r="H333" s="15"/>
      <c r="I333" s="3"/>
      <c r="J333" s="4"/>
      <c r="K333" s="4"/>
      <c r="L333" s="4"/>
      <c r="M333" s="4"/>
      <c r="N333" s="4"/>
      <c r="O333" s="4"/>
      <c r="P333" s="4"/>
      <c r="Q333" s="4"/>
      <c r="R333" s="4"/>
      <c r="S333" s="4"/>
      <c r="T333" s="4"/>
      <c r="U333" s="4"/>
      <c r="V333" s="4"/>
    </row>
    <row r="334" spans="1:22" ht="87.5">
      <c r="A334" s="11">
        <v>44676.644479166665</v>
      </c>
      <c r="B334" s="12" t="s">
        <v>14</v>
      </c>
      <c r="C334" s="12" t="s">
        <v>836</v>
      </c>
      <c r="D334" s="12" t="s">
        <v>837</v>
      </c>
      <c r="E334" s="17" t="s">
        <v>838</v>
      </c>
      <c r="F334" s="15"/>
      <c r="G334" s="15"/>
      <c r="H334" s="15"/>
      <c r="I334" s="3"/>
      <c r="J334" s="4"/>
      <c r="K334" s="4"/>
      <c r="L334" s="4"/>
      <c r="M334" s="4"/>
      <c r="N334" s="4"/>
      <c r="O334" s="4"/>
      <c r="P334" s="4"/>
      <c r="Q334" s="4"/>
      <c r="R334" s="4"/>
      <c r="S334" s="4"/>
      <c r="T334" s="4"/>
      <c r="U334" s="4"/>
      <c r="V334" s="4"/>
    </row>
    <row r="335" spans="1:22" ht="100">
      <c r="A335" s="11">
        <v>44676.644479166665</v>
      </c>
      <c r="B335" s="12" t="s">
        <v>24</v>
      </c>
      <c r="C335" s="12" t="s">
        <v>839</v>
      </c>
      <c r="D335" s="12" t="s">
        <v>840</v>
      </c>
      <c r="E335" s="17" t="s">
        <v>841</v>
      </c>
      <c r="F335" s="15"/>
      <c r="G335" s="15"/>
      <c r="H335" s="15"/>
      <c r="I335" s="3"/>
      <c r="J335" s="4"/>
      <c r="K335" s="4"/>
      <c r="L335" s="4"/>
      <c r="M335" s="4"/>
      <c r="N335" s="4"/>
      <c r="O335" s="4"/>
      <c r="P335" s="4"/>
      <c r="Q335" s="4"/>
      <c r="R335" s="4"/>
      <c r="S335" s="4"/>
      <c r="T335" s="4"/>
      <c r="U335" s="4"/>
      <c r="V335" s="4"/>
    </row>
    <row r="336" spans="1:22" ht="75">
      <c r="A336" s="11">
        <v>44676.644479166665</v>
      </c>
      <c r="B336" s="12" t="s">
        <v>24</v>
      </c>
      <c r="C336" s="12" t="s">
        <v>842</v>
      </c>
      <c r="D336" s="12" t="s">
        <v>843</v>
      </c>
      <c r="E336" s="17" t="s">
        <v>844</v>
      </c>
      <c r="F336" s="15"/>
      <c r="G336" s="15"/>
      <c r="H336" s="15"/>
      <c r="I336" s="3"/>
      <c r="J336" s="4"/>
      <c r="K336" s="4"/>
      <c r="L336" s="4"/>
      <c r="M336" s="4"/>
      <c r="N336" s="4"/>
      <c r="O336" s="4"/>
      <c r="P336" s="4"/>
      <c r="Q336" s="4"/>
      <c r="R336" s="4"/>
      <c r="S336" s="4"/>
      <c r="T336" s="4"/>
      <c r="U336" s="4"/>
      <c r="V336" s="4"/>
    </row>
    <row r="337" spans="1:22" ht="75">
      <c r="A337" s="11">
        <v>44676.644479166665</v>
      </c>
      <c r="B337" s="12" t="s">
        <v>24</v>
      </c>
      <c r="C337" s="12" t="s">
        <v>845</v>
      </c>
      <c r="D337" s="12" t="s">
        <v>846</v>
      </c>
      <c r="E337" s="17" t="s">
        <v>847</v>
      </c>
      <c r="F337" s="17" t="s">
        <v>848</v>
      </c>
      <c r="G337" s="15"/>
      <c r="H337" s="15"/>
      <c r="I337" s="3"/>
      <c r="J337" s="4"/>
      <c r="K337" s="4"/>
      <c r="L337" s="4"/>
      <c r="M337" s="4"/>
      <c r="N337" s="4"/>
      <c r="O337" s="4"/>
      <c r="P337" s="4"/>
      <c r="Q337" s="4"/>
      <c r="R337" s="4"/>
      <c r="S337" s="4"/>
      <c r="T337" s="4"/>
      <c r="U337" s="4"/>
      <c r="V337" s="4"/>
    </row>
    <row r="338" spans="1:22" ht="225.5">
      <c r="A338" s="11">
        <v>44676.644479166665</v>
      </c>
      <c r="B338" s="12" t="s">
        <v>21</v>
      </c>
      <c r="C338" s="12" t="s">
        <v>849</v>
      </c>
      <c r="D338" s="12" t="s">
        <v>850</v>
      </c>
      <c r="E338" s="17" t="s">
        <v>851</v>
      </c>
      <c r="F338" s="17" t="s">
        <v>852</v>
      </c>
      <c r="G338" s="17" t="s">
        <v>853</v>
      </c>
      <c r="H338" s="17" t="s">
        <v>854</v>
      </c>
      <c r="I338" s="3"/>
      <c r="J338" s="4"/>
      <c r="K338" s="4"/>
      <c r="L338" s="4"/>
      <c r="M338" s="4"/>
      <c r="N338" s="4"/>
      <c r="O338" s="4"/>
      <c r="P338" s="4"/>
      <c r="Q338" s="4"/>
      <c r="R338" s="4"/>
      <c r="S338" s="4"/>
      <c r="T338" s="4"/>
      <c r="U338" s="4"/>
      <c r="V338" s="4"/>
    </row>
    <row r="339" spans="1:22" ht="87.5">
      <c r="A339" s="11">
        <v>44676.644479166665</v>
      </c>
      <c r="B339" s="12" t="s">
        <v>32</v>
      </c>
      <c r="C339" s="12" t="s">
        <v>855</v>
      </c>
      <c r="D339" s="12" t="s">
        <v>856</v>
      </c>
      <c r="E339" s="17" t="s">
        <v>857</v>
      </c>
      <c r="F339" s="15"/>
      <c r="G339" s="15"/>
      <c r="H339" s="15"/>
      <c r="I339" s="3"/>
      <c r="J339" s="4"/>
      <c r="K339" s="4"/>
      <c r="L339" s="4"/>
      <c r="M339" s="4"/>
      <c r="N339" s="4"/>
      <c r="O339" s="4"/>
      <c r="P339" s="4"/>
      <c r="Q339" s="4"/>
      <c r="R339" s="4"/>
      <c r="S339" s="4"/>
      <c r="T339" s="4"/>
      <c r="U339" s="4"/>
      <c r="V339" s="4"/>
    </row>
    <row r="340" spans="1:22" ht="125">
      <c r="A340" s="11">
        <v>44676.644479166665</v>
      </c>
      <c r="B340" s="12" t="s">
        <v>32</v>
      </c>
      <c r="C340" s="12" t="s">
        <v>858</v>
      </c>
      <c r="D340" s="12" t="s">
        <v>859</v>
      </c>
      <c r="E340" s="17" t="s">
        <v>860</v>
      </c>
      <c r="F340" s="17" t="s">
        <v>861</v>
      </c>
      <c r="G340" s="15"/>
      <c r="H340" s="15"/>
      <c r="I340" s="3"/>
      <c r="J340" s="4"/>
      <c r="K340" s="4"/>
      <c r="L340" s="4"/>
      <c r="M340" s="4"/>
      <c r="N340" s="4"/>
      <c r="O340" s="4"/>
      <c r="P340" s="4"/>
      <c r="Q340" s="4"/>
      <c r="R340" s="4"/>
      <c r="S340" s="4"/>
      <c r="T340" s="4"/>
      <c r="U340" s="4"/>
      <c r="V340" s="4"/>
    </row>
    <row r="341" spans="1:22" ht="75">
      <c r="A341" s="11">
        <v>44676.644479166665</v>
      </c>
      <c r="B341" s="12" t="s">
        <v>32</v>
      </c>
      <c r="C341" s="12" t="s">
        <v>862</v>
      </c>
      <c r="D341" s="12" t="s">
        <v>863</v>
      </c>
      <c r="E341" s="17" t="s">
        <v>864</v>
      </c>
      <c r="F341" s="15"/>
      <c r="G341" s="15"/>
      <c r="H341" s="15"/>
      <c r="I341" s="3"/>
      <c r="J341" s="4"/>
      <c r="K341" s="4"/>
      <c r="L341" s="4"/>
      <c r="M341" s="4"/>
      <c r="N341" s="4"/>
      <c r="O341" s="4"/>
      <c r="P341" s="4"/>
      <c r="Q341" s="4"/>
      <c r="R341" s="4"/>
      <c r="S341" s="4"/>
      <c r="T341" s="4"/>
      <c r="U341" s="4"/>
      <c r="V341" s="4"/>
    </row>
    <row r="342" spans="1:22" ht="75">
      <c r="A342" s="11">
        <v>44676.644479166665</v>
      </c>
      <c r="B342" s="12" t="s">
        <v>29</v>
      </c>
      <c r="C342" s="12" t="s">
        <v>865</v>
      </c>
      <c r="D342" s="12" t="s">
        <v>866</v>
      </c>
      <c r="E342" s="17" t="s">
        <v>867</v>
      </c>
      <c r="F342" s="15"/>
      <c r="G342" s="15"/>
      <c r="H342" s="15"/>
      <c r="I342" s="3"/>
      <c r="J342" s="4"/>
      <c r="K342" s="4"/>
      <c r="L342" s="4"/>
      <c r="M342" s="4"/>
      <c r="N342" s="4"/>
      <c r="O342" s="4"/>
      <c r="P342" s="4"/>
      <c r="Q342" s="4"/>
      <c r="R342" s="4"/>
      <c r="S342" s="4"/>
      <c r="T342" s="4"/>
      <c r="U342" s="4"/>
      <c r="V342" s="4"/>
    </row>
    <row r="343" spans="1:22" ht="100">
      <c r="A343" s="11">
        <v>44642.390011574069</v>
      </c>
      <c r="B343" s="12" t="s">
        <v>5</v>
      </c>
      <c r="C343" s="12" t="s">
        <v>868</v>
      </c>
      <c r="D343" s="12" t="s">
        <v>869</v>
      </c>
      <c r="E343" s="17" t="s">
        <v>870</v>
      </c>
      <c r="F343" s="17" t="s">
        <v>871</v>
      </c>
      <c r="G343" s="15"/>
      <c r="H343" s="15"/>
      <c r="I343" s="3"/>
      <c r="J343" s="4"/>
      <c r="K343" s="4"/>
      <c r="L343" s="4"/>
      <c r="M343" s="4"/>
      <c r="N343" s="4"/>
      <c r="O343" s="4"/>
      <c r="P343" s="4"/>
      <c r="Q343" s="4"/>
      <c r="R343" s="4"/>
      <c r="S343" s="4"/>
      <c r="T343" s="4"/>
      <c r="U343" s="4"/>
      <c r="V343" s="4"/>
    </row>
    <row r="344" spans="1:22" ht="75">
      <c r="A344" s="11">
        <v>44642.390011574069</v>
      </c>
      <c r="B344" s="12" t="s">
        <v>5</v>
      </c>
      <c r="C344" s="12" t="s">
        <v>872</v>
      </c>
      <c r="D344" s="12" t="s">
        <v>873</v>
      </c>
      <c r="E344" s="17" t="s">
        <v>874</v>
      </c>
      <c r="F344" s="15"/>
      <c r="G344" s="15"/>
      <c r="H344" s="15"/>
      <c r="I344" s="3"/>
      <c r="J344" s="4"/>
      <c r="K344" s="4"/>
      <c r="L344" s="4"/>
      <c r="M344" s="4"/>
      <c r="N344" s="4"/>
      <c r="O344" s="4"/>
      <c r="P344" s="4"/>
      <c r="Q344" s="4"/>
      <c r="R344" s="4"/>
      <c r="S344" s="4"/>
      <c r="T344" s="4"/>
      <c r="U344" s="4"/>
      <c r="V344" s="4"/>
    </row>
    <row r="345" spans="1:22" ht="112.5">
      <c r="A345" s="11">
        <v>44642.39</v>
      </c>
      <c r="B345" s="12" t="s">
        <v>14</v>
      </c>
      <c r="C345" s="12" t="s">
        <v>875</v>
      </c>
      <c r="D345" s="12" t="s">
        <v>876</v>
      </c>
      <c r="E345" s="17" t="s">
        <v>877</v>
      </c>
      <c r="F345" s="15"/>
      <c r="G345" s="15"/>
      <c r="H345" s="15"/>
      <c r="I345" s="3"/>
      <c r="J345" s="4"/>
      <c r="K345" s="4"/>
      <c r="L345" s="4"/>
      <c r="M345" s="4"/>
      <c r="N345" s="4"/>
      <c r="O345" s="4"/>
      <c r="P345" s="4"/>
      <c r="Q345" s="4"/>
      <c r="R345" s="4"/>
      <c r="S345" s="4"/>
      <c r="T345" s="4"/>
      <c r="U345" s="4"/>
      <c r="V345" s="4"/>
    </row>
    <row r="346" spans="1:22" ht="87.5">
      <c r="A346" s="11">
        <v>44642.39</v>
      </c>
      <c r="B346" s="12" t="s">
        <v>14</v>
      </c>
      <c r="C346" s="12" t="s">
        <v>878</v>
      </c>
      <c r="D346" s="12" t="s">
        <v>879</v>
      </c>
      <c r="E346" s="17" t="s">
        <v>880</v>
      </c>
      <c r="F346" s="17" t="s">
        <v>881</v>
      </c>
      <c r="G346" s="15"/>
      <c r="H346" s="15"/>
      <c r="I346" s="3"/>
      <c r="J346" s="4"/>
      <c r="K346" s="4"/>
      <c r="L346" s="4"/>
      <c r="M346" s="4"/>
      <c r="N346" s="4"/>
      <c r="O346" s="4"/>
      <c r="P346" s="4"/>
      <c r="Q346" s="4"/>
      <c r="R346" s="4"/>
      <c r="S346" s="4"/>
      <c r="T346" s="4"/>
      <c r="U346" s="4"/>
      <c r="V346" s="4"/>
    </row>
    <row r="347" spans="1:22" ht="62.5">
      <c r="A347" s="11">
        <v>44642.39</v>
      </c>
      <c r="B347" s="12" t="s">
        <v>14</v>
      </c>
      <c r="C347" s="12" t="s">
        <v>882</v>
      </c>
      <c r="D347" s="12" t="s">
        <v>883</v>
      </c>
      <c r="E347" s="17" t="s">
        <v>884</v>
      </c>
      <c r="F347" s="15"/>
      <c r="G347" s="15"/>
      <c r="H347" s="15"/>
      <c r="I347" s="3"/>
      <c r="J347" s="4"/>
      <c r="K347" s="4"/>
      <c r="L347" s="4"/>
      <c r="M347" s="4"/>
      <c r="N347" s="4"/>
      <c r="O347" s="4"/>
      <c r="P347" s="4"/>
      <c r="Q347" s="4"/>
      <c r="R347" s="4"/>
      <c r="S347" s="4"/>
      <c r="T347" s="4"/>
      <c r="U347" s="4"/>
      <c r="V347" s="4"/>
    </row>
    <row r="348" spans="1:22" ht="87.5">
      <c r="A348" s="11">
        <v>44642.39</v>
      </c>
      <c r="B348" s="12" t="s">
        <v>14</v>
      </c>
      <c r="C348" s="12" t="s">
        <v>885</v>
      </c>
      <c r="D348" s="12" t="s">
        <v>886</v>
      </c>
      <c r="E348" s="17" t="s">
        <v>887</v>
      </c>
      <c r="F348" s="15"/>
      <c r="G348" s="15"/>
      <c r="H348" s="15"/>
      <c r="I348" s="3"/>
      <c r="J348" s="4"/>
      <c r="K348" s="4"/>
      <c r="L348" s="4"/>
      <c r="M348" s="4"/>
      <c r="N348" s="4"/>
      <c r="O348" s="4"/>
      <c r="P348" s="4"/>
      <c r="Q348" s="4"/>
      <c r="R348" s="4"/>
      <c r="S348" s="4"/>
      <c r="T348" s="4"/>
      <c r="U348" s="4"/>
      <c r="V348" s="4"/>
    </row>
    <row r="349" spans="1:22" ht="50">
      <c r="A349" s="11">
        <v>44642.39</v>
      </c>
      <c r="B349" s="12" t="s">
        <v>5</v>
      </c>
      <c r="C349" s="12" t="s">
        <v>888</v>
      </c>
      <c r="D349" s="12" t="s">
        <v>889</v>
      </c>
      <c r="E349" s="17" t="s">
        <v>890</v>
      </c>
      <c r="F349" s="15"/>
      <c r="G349" s="15"/>
      <c r="H349" s="15"/>
      <c r="I349" s="3"/>
      <c r="J349" s="4"/>
      <c r="K349" s="4"/>
      <c r="L349" s="4"/>
      <c r="M349" s="4"/>
      <c r="N349" s="4"/>
      <c r="O349" s="4"/>
      <c r="P349" s="4"/>
      <c r="Q349" s="4"/>
      <c r="R349" s="4"/>
      <c r="S349" s="4"/>
      <c r="T349" s="4"/>
      <c r="U349" s="4"/>
      <c r="V349" s="4"/>
    </row>
    <row r="350" spans="1:22" ht="75">
      <c r="A350" s="11">
        <v>44642.38998842593</v>
      </c>
      <c r="B350" s="12" t="s">
        <v>24</v>
      </c>
      <c r="C350" s="12" t="s">
        <v>891</v>
      </c>
      <c r="D350" s="12" t="s">
        <v>892</v>
      </c>
      <c r="E350" s="17" t="s">
        <v>893</v>
      </c>
      <c r="F350" s="17" t="s">
        <v>894</v>
      </c>
      <c r="G350" s="15"/>
      <c r="H350" s="15"/>
      <c r="I350" s="3"/>
      <c r="J350" s="4"/>
      <c r="K350" s="4"/>
      <c r="L350" s="4"/>
      <c r="M350" s="4"/>
      <c r="N350" s="4"/>
      <c r="O350" s="4"/>
      <c r="P350" s="4"/>
      <c r="Q350" s="4"/>
      <c r="R350" s="4"/>
      <c r="S350" s="4"/>
      <c r="T350" s="4"/>
      <c r="U350" s="4"/>
      <c r="V350" s="4"/>
    </row>
    <row r="351" spans="1:22" ht="75">
      <c r="A351" s="11">
        <v>44642.38998842593</v>
      </c>
      <c r="B351" s="12" t="s">
        <v>24</v>
      </c>
      <c r="C351" s="12" t="s">
        <v>895</v>
      </c>
      <c r="D351" s="12" t="s">
        <v>896</v>
      </c>
      <c r="E351" s="17" t="s">
        <v>897</v>
      </c>
      <c r="F351" s="15"/>
      <c r="G351" s="15"/>
      <c r="H351" s="15"/>
      <c r="I351" s="3"/>
      <c r="J351" s="4"/>
      <c r="K351" s="4"/>
      <c r="L351" s="4"/>
      <c r="M351" s="4"/>
      <c r="N351" s="4"/>
      <c r="O351" s="4"/>
      <c r="P351" s="4"/>
      <c r="Q351" s="4"/>
      <c r="R351" s="4"/>
      <c r="S351" s="4"/>
      <c r="T351" s="4"/>
      <c r="U351" s="4"/>
      <c r="V351" s="4"/>
    </row>
    <row r="352" spans="1:22" ht="75">
      <c r="A352" s="11">
        <v>44642.38998842593</v>
      </c>
      <c r="B352" s="12" t="s">
        <v>24</v>
      </c>
      <c r="C352" s="12" t="s">
        <v>898</v>
      </c>
      <c r="D352" s="12" t="s">
        <v>899</v>
      </c>
      <c r="E352" s="17" t="s">
        <v>900</v>
      </c>
      <c r="F352" s="17" t="s">
        <v>901</v>
      </c>
      <c r="G352" s="15"/>
      <c r="H352" s="15"/>
      <c r="I352" s="3"/>
      <c r="J352" s="4"/>
      <c r="K352" s="4"/>
      <c r="L352" s="4"/>
      <c r="M352" s="4"/>
      <c r="N352" s="4"/>
      <c r="O352" s="4"/>
      <c r="P352" s="4"/>
      <c r="Q352" s="4"/>
      <c r="R352" s="4"/>
      <c r="S352" s="4"/>
      <c r="T352" s="4"/>
      <c r="U352" s="4"/>
      <c r="V352" s="4"/>
    </row>
    <row r="353" spans="1:22" ht="75">
      <c r="A353" s="11">
        <v>44642.389976851853</v>
      </c>
      <c r="B353" s="12" t="s">
        <v>32</v>
      </c>
      <c r="C353" s="12" t="s">
        <v>902</v>
      </c>
      <c r="D353" s="12" t="s">
        <v>903</v>
      </c>
      <c r="E353" s="17" t="s">
        <v>904</v>
      </c>
      <c r="F353" s="17" t="s">
        <v>905</v>
      </c>
      <c r="G353" s="15"/>
      <c r="H353" s="15"/>
      <c r="I353" s="3"/>
      <c r="J353" s="4"/>
      <c r="K353" s="4"/>
      <c r="L353" s="4"/>
      <c r="M353" s="4"/>
      <c r="N353" s="4"/>
      <c r="O353" s="4"/>
      <c r="P353" s="4"/>
      <c r="Q353" s="4"/>
      <c r="R353" s="4"/>
      <c r="S353" s="4"/>
      <c r="T353" s="4"/>
      <c r="U353" s="4"/>
      <c r="V353" s="4"/>
    </row>
    <row r="354" spans="1:22" ht="87.5">
      <c r="A354" s="11">
        <v>44642.389976851853</v>
      </c>
      <c r="B354" s="12" t="s">
        <v>32</v>
      </c>
      <c r="C354" s="12" t="s">
        <v>906</v>
      </c>
      <c r="D354" s="12" t="s">
        <v>907</v>
      </c>
      <c r="E354" s="17" t="s">
        <v>908</v>
      </c>
      <c r="F354" s="17" t="s">
        <v>909</v>
      </c>
      <c r="G354" s="15"/>
      <c r="H354" s="15"/>
      <c r="I354" s="3"/>
      <c r="J354" s="4"/>
      <c r="K354" s="4"/>
      <c r="L354" s="4"/>
      <c r="M354" s="4"/>
      <c r="N354" s="4"/>
      <c r="O354" s="4"/>
      <c r="P354" s="4"/>
      <c r="Q354" s="4"/>
      <c r="R354" s="4"/>
      <c r="S354" s="4"/>
      <c r="T354" s="4"/>
      <c r="U354" s="4"/>
      <c r="V354" s="4"/>
    </row>
    <row r="355" spans="1:22" ht="237.5">
      <c r="A355" s="11">
        <v>44642.389976851853</v>
      </c>
      <c r="B355" s="12" t="s">
        <v>29</v>
      </c>
      <c r="C355" s="12" t="s">
        <v>910</v>
      </c>
      <c r="D355" s="12" t="s">
        <v>911</v>
      </c>
      <c r="E355" s="17" t="s">
        <v>912</v>
      </c>
      <c r="F355" s="17" t="s">
        <v>913</v>
      </c>
      <c r="G355" s="17" t="s">
        <v>914</v>
      </c>
      <c r="H355" s="15"/>
      <c r="I355" s="3"/>
      <c r="J355" s="4"/>
      <c r="K355" s="4"/>
      <c r="L355" s="4"/>
      <c r="M355" s="4"/>
      <c r="N355" s="4"/>
      <c r="O355" s="4"/>
      <c r="P355" s="4"/>
      <c r="Q355" s="4"/>
      <c r="R355" s="4"/>
      <c r="S355" s="4"/>
      <c r="T355" s="4"/>
      <c r="U355" s="4"/>
      <c r="V355" s="4"/>
    </row>
    <row r="356" spans="1:22" ht="75">
      <c r="A356" s="11">
        <v>44642.389976851853</v>
      </c>
      <c r="B356" s="12" t="s">
        <v>29</v>
      </c>
      <c r="C356" s="12" t="s">
        <v>915</v>
      </c>
      <c r="D356" s="12" t="s">
        <v>916</v>
      </c>
      <c r="E356" s="17" t="s">
        <v>917</v>
      </c>
      <c r="F356" s="17" t="s">
        <v>918</v>
      </c>
      <c r="G356" s="15"/>
      <c r="H356" s="15"/>
      <c r="I356" s="3"/>
      <c r="J356" s="4"/>
      <c r="K356" s="4"/>
      <c r="L356" s="4"/>
      <c r="M356" s="4"/>
      <c r="N356" s="4"/>
      <c r="O356" s="4"/>
      <c r="P356" s="4"/>
      <c r="Q356" s="4"/>
      <c r="R356" s="4"/>
      <c r="S356" s="4"/>
      <c r="T356" s="4"/>
      <c r="U356" s="4"/>
      <c r="V356" s="4"/>
    </row>
    <row r="357" spans="1:22" ht="87.5">
      <c r="A357" s="11">
        <v>44642.389976851853</v>
      </c>
      <c r="B357" s="12" t="s">
        <v>29</v>
      </c>
      <c r="C357" s="12" t="s">
        <v>919</v>
      </c>
      <c r="D357" s="12" t="s">
        <v>920</v>
      </c>
      <c r="E357" s="17" t="s">
        <v>921</v>
      </c>
      <c r="F357" s="15"/>
      <c r="G357" s="15"/>
      <c r="H357" s="15"/>
      <c r="I357" s="3"/>
      <c r="J357" s="4"/>
      <c r="K357" s="4"/>
      <c r="L357" s="4"/>
      <c r="M357" s="4"/>
      <c r="N357" s="4"/>
      <c r="O357" s="4"/>
      <c r="P357" s="4"/>
      <c r="Q357" s="4"/>
      <c r="R357" s="4"/>
      <c r="S357" s="4"/>
      <c r="T357" s="4"/>
      <c r="U357" s="4"/>
      <c r="V357" s="4"/>
    </row>
    <row r="358" spans="1:22" ht="62.5">
      <c r="A358" s="11">
        <v>44642.389965277776</v>
      </c>
      <c r="B358" s="12" t="s">
        <v>14</v>
      </c>
      <c r="C358" s="12" t="s">
        <v>922</v>
      </c>
      <c r="D358" s="12" t="s">
        <v>923</v>
      </c>
      <c r="E358" s="17" t="s">
        <v>924</v>
      </c>
      <c r="F358" s="17" t="s">
        <v>925</v>
      </c>
      <c r="G358" s="15"/>
      <c r="H358" s="15"/>
      <c r="I358" s="3"/>
      <c r="J358" s="4"/>
      <c r="K358" s="4"/>
      <c r="L358" s="4"/>
      <c r="M358" s="4"/>
      <c r="N358" s="4"/>
      <c r="O358" s="4"/>
      <c r="P358" s="4"/>
      <c r="Q358" s="4"/>
      <c r="R358" s="4"/>
      <c r="S358" s="4"/>
      <c r="T358" s="4"/>
      <c r="U358" s="4"/>
      <c r="V358" s="4"/>
    </row>
    <row r="359" spans="1:22" ht="100">
      <c r="A359" s="11">
        <v>44642.389965277776</v>
      </c>
      <c r="B359" s="12" t="s">
        <v>32</v>
      </c>
      <c r="C359" s="12" t="s">
        <v>926</v>
      </c>
      <c r="D359" s="12" t="s">
        <v>927</v>
      </c>
      <c r="E359" s="17" t="s">
        <v>928</v>
      </c>
      <c r="F359" s="15"/>
      <c r="G359" s="15"/>
      <c r="H359" s="15"/>
      <c r="I359" s="3"/>
      <c r="J359" s="4"/>
      <c r="K359" s="4"/>
      <c r="L359" s="4"/>
      <c r="M359" s="4"/>
      <c r="N359" s="4"/>
      <c r="O359" s="4"/>
      <c r="P359" s="4"/>
      <c r="Q359" s="4"/>
      <c r="R359" s="4"/>
      <c r="S359" s="4"/>
      <c r="T359" s="4"/>
      <c r="U359" s="4"/>
      <c r="V359" s="4"/>
    </row>
    <row r="360" spans="1:22" ht="100">
      <c r="A360" s="11">
        <v>44614.381516203706</v>
      </c>
      <c r="B360" s="12" t="s">
        <v>29</v>
      </c>
      <c r="C360" s="12" t="s">
        <v>929</v>
      </c>
      <c r="D360" s="12" t="s">
        <v>930</v>
      </c>
      <c r="E360" s="17" t="s">
        <v>931</v>
      </c>
      <c r="F360" s="17" t="s">
        <v>932</v>
      </c>
      <c r="G360" s="17" t="s">
        <v>933</v>
      </c>
      <c r="H360" s="15"/>
      <c r="I360" s="3"/>
      <c r="J360" s="4"/>
      <c r="K360" s="4"/>
      <c r="L360" s="4"/>
      <c r="M360" s="4"/>
      <c r="N360" s="4"/>
      <c r="O360" s="4"/>
      <c r="P360" s="4"/>
      <c r="Q360" s="4"/>
      <c r="R360" s="4"/>
      <c r="S360" s="4"/>
      <c r="T360" s="4"/>
      <c r="U360" s="4"/>
      <c r="V360" s="4"/>
    </row>
    <row r="361" spans="1:22" ht="87.5">
      <c r="A361" s="11">
        <v>44614.381516203706</v>
      </c>
      <c r="B361" s="12" t="s">
        <v>29</v>
      </c>
      <c r="C361" s="12" t="s">
        <v>934</v>
      </c>
      <c r="D361" s="12" t="s">
        <v>935</v>
      </c>
      <c r="E361" s="17" t="s">
        <v>936</v>
      </c>
      <c r="F361" s="17" t="s">
        <v>937</v>
      </c>
      <c r="G361" s="15"/>
      <c r="H361" s="15"/>
      <c r="I361" s="3"/>
      <c r="J361" s="4"/>
      <c r="K361" s="4"/>
      <c r="L361" s="4"/>
      <c r="M361" s="4"/>
      <c r="N361" s="4"/>
      <c r="O361" s="4"/>
      <c r="P361" s="4"/>
      <c r="Q361" s="4"/>
      <c r="R361" s="4"/>
      <c r="S361" s="4"/>
      <c r="T361" s="4"/>
      <c r="U361" s="4"/>
      <c r="V361" s="4"/>
    </row>
    <row r="362" spans="1:22" ht="62.5">
      <c r="A362" s="11">
        <v>44614.381516203706</v>
      </c>
      <c r="B362" s="12" t="s">
        <v>5</v>
      </c>
      <c r="C362" s="12" t="s">
        <v>938</v>
      </c>
      <c r="D362" s="12" t="s">
        <v>939</v>
      </c>
      <c r="E362" s="17" t="s">
        <v>940</v>
      </c>
      <c r="F362" s="15"/>
      <c r="G362" s="15"/>
      <c r="H362" s="15"/>
      <c r="I362" s="3"/>
      <c r="J362" s="4"/>
      <c r="K362" s="4"/>
      <c r="L362" s="4"/>
      <c r="M362" s="4"/>
      <c r="N362" s="4"/>
      <c r="O362" s="4"/>
      <c r="P362" s="4"/>
      <c r="Q362" s="4"/>
      <c r="R362" s="4"/>
      <c r="S362" s="4"/>
      <c r="T362" s="4"/>
      <c r="U362" s="4"/>
      <c r="V362" s="4"/>
    </row>
    <row r="363" spans="1:22" ht="87.5">
      <c r="A363" s="11">
        <v>44614.381516203706</v>
      </c>
      <c r="B363" s="12" t="s">
        <v>5</v>
      </c>
      <c r="C363" s="12" t="s">
        <v>941</v>
      </c>
      <c r="D363" s="12" t="s">
        <v>942</v>
      </c>
      <c r="E363" s="17" t="s">
        <v>943</v>
      </c>
      <c r="F363" s="15"/>
      <c r="G363" s="15"/>
      <c r="H363" s="15"/>
      <c r="I363" s="3"/>
      <c r="J363" s="4"/>
      <c r="K363" s="4"/>
      <c r="L363" s="4"/>
      <c r="M363" s="4"/>
      <c r="N363" s="4"/>
      <c r="O363" s="4"/>
      <c r="P363" s="4"/>
      <c r="Q363" s="4"/>
      <c r="R363" s="4"/>
      <c r="S363" s="4"/>
      <c r="T363" s="4"/>
      <c r="U363" s="4"/>
      <c r="V363" s="4"/>
    </row>
    <row r="364" spans="1:22" ht="75">
      <c r="A364" s="11">
        <v>44614.381504629629</v>
      </c>
      <c r="B364" s="12" t="s">
        <v>24</v>
      </c>
      <c r="C364" s="12" t="s">
        <v>944</v>
      </c>
      <c r="D364" s="12" t="s">
        <v>945</v>
      </c>
      <c r="E364" s="17" t="s">
        <v>946</v>
      </c>
      <c r="F364" s="15"/>
      <c r="G364" s="15"/>
      <c r="H364" s="15"/>
      <c r="I364" s="3"/>
      <c r="J364" s="4"/>
      <c r="K364" s="4"/>
      <c r="L364" s="4"/>
      <c r="M364" s="4"/>
      <c r="N364" s="4"/>
      <c r="O364" s="4"/>
      <c r="P364" s="4"/>
      <c r="Q364" s="4"/>
      <c r="R364" s="4"/>
      <c r="S364" s="4"/>
      <c r="T364" s="4"/>
      <c r="U364" s="4"/>
      <c r="V364" s="4"/>
    </row>
    <row r="365" spans="1:22" ht="87.5">
      <c r="A365" s="11">
        <v>44614.381504629629</v>
      </c>
      <c r="B365" s="12" t="s">
        <v>24</v>
      </c>
      <c r="C365" s="12" t="s">
        <v>947</v>
      </c>
      <c r="D365" s="12" t="s">
        <v>948</v>
      </c>
      <c r="E365" s="17" t="s">
        <v>949</v>
      </c>
      <c r="F365" s="15"/>
      <c r="G365" s="15"/>
      <c r="H365" s="15"/>
      <c r="I365" s="3"/>
      <c r="J365" s="4"/>
      <c r="K365" s="4"/>
      <c r="L365" s="4"/>
      <c r="M365" s="4"/>
      <c r="N365" s="4"/>
      <c r="O365" s="4"/>
      <c r="P365" s="4"/>
      <c r="Q365" s="4"/>
      <c r="R365" s="4"/>
      <c r="S365" s="4"/>
      <c r="T365" s="4"/>
      <c r="U365" s="4"/>
      <c r="V365" s="4"/>
    </row>
    <row r="366" spans="1:22" ht="100">
      <c r="A366" s="11">
        <v>44614.381504629629</v>
      </c>
      <c r="B366" s="12" t="s">
        <v>24</v>
      </c>
      <c r="C366" s="12" t="s">
        <v>950</v>
      </c>
      <c r="D366" s="12" t="s">
        <v>951</v>
      </c>
      <c r="E366" s="17" t="s">
        <v>952</v>
      </c>
      <c r="F366" s="17" t="s">
        <v>953</v>
      </c>
      <c r="G366" s="15"/>
      <c r="H366" s="15"/>
      <c r="I366" s="3"/>
      <c r="J366" s="4"/>
      <c r="K366" s="4"/>
      <c r="L366" s="4"/>
      <c r="M366" s="4"/>
      <c r="N366" s="4"/>
      <c r="O366" s="4"/>
      <c r="P366" s="4"/>
      <c r="Q366" s="4"/>
      <c r="R366" s="4"/>
      <c r="S366" s="4"/>
      <c r="T366" s="4"/>
      <c r="U366" s="4"/>
      <c r="V366" s="4"/>
    </row>
    <row r="367" spans="1:22" ht="87.5">
      <c r="A367" s="11">
        <v>44614.381504629629</v>
      </c>
      <c r="B367" s="12" t="s">
        <v>29</v>
      </c>
      <c r="C367" s="12" t="s">
        <v>954</v>
      </c>
      <c r="D367" s="12" t="s">
        <v>955</v>
      </c>
      <c r="E367" s="17" t="s">
        <v>956</v>
      </c>
      <c r="F367" s="17" t="s">
        <v>957</v>
      </c>
      <c r="G367" s="15"/>
      <c r="H367" s="15"/>
      <c r="I367" s="3"/>
      <c r="J367" s="4"/>
      <c r="K367" s="4"/>
      <c r="L367" s="4"/>
      <c r="M367" s="4"/>
      <c r="N367" s="4"/>
      <c r="O367" s="4"/>
      <c r="P367" s="4"/>
      <c r="Q367" s="4"/>
      <c r="R367" s="4"/>
      <c r="S367" s="4"/>
      <c r="T367" s="4"/>
      <c r="U367" s="4"/>
      <c r="V367" s="4"/>
    </row>
    <row r="368" spans="1:22" ht="62.5">
      <c r="A368" s="11">
        <v>44614.381504629629</v>
      </c>
      <c r="B368" s="12" t="s">
        <v>29</v>
      </c>
      <c r="C368" s="12" t="s">
        <v>958</v>
      </c>
      <c r="D368" s="12" t="s">
        <v>959</v>
      </c>
      <c r="E368" s="17" t="s">
        <v>960</v>
      </c>
      <c r="F368" s="15"/>
      <c r="G368" s="15"/>
      <c r="H368" s="15"/>
      <c r="I368" s="3"/>
      <c r="J368" s="4"/>
      <c r="K368" s="4"/>
      <c r="L368" s="4"/>
      <c r="M368" s="4"/>
      <c r="N368" s="4"/>
      <c r="O368" s="4"/>
      <c r="P368" s="4"/>
      <c r="Q368" s="4"/>
      <c r="R368" s="4"/>
      <c r="S368" s="4"/>
      <c r="T368" s="4"/>
      <c r="U368" s="4"/>
      <c r="V368" s="4"/>
    </row>
    <row r="369" spans="1:22" ht="87.5">
      <c r="A369" s="11">
        <v>44614.381493055553</v>
      </c>
      <c r="B369" s="12" t="s">
        <v>5</v>
      </c>
      <c r="C369" s="12" t="s">
        <v>961</v>
      </c>
      <c r="D369" s="12" t="s">
        <v>962</v>
      </c>
      <c r="E369" s="17" t="s">
        <v>963</v>
      </c>
      <c r="F369" s="15"/>
      <c r="G369" s="15"/>
      <c r="H369" s="15"/>
      <c r="I369" s="3"/>
      <c r="J369" s="4"/>
      <c r="K369" s="4"/>
      <c r="L369" s="4"/>
      <c r="M369" s="4"/>
      <c r="N369" s="4"/>
      <c r="O369" s="4"/>
      <c r="P369" s="4"/>
      <c r="Q369" s="4"/>
      <c r="R369" s="4"/>
      <c r="S369" s="4"/>
      <c r="T369" s="4"/>
      <c r="U369" s="4"/>
      <c r="V369" s="4"/>
    </row>
    <row r="370" spans="1:22" ht="62.5">
      <c r="A370" s="11">
        <v>44614.381493055553</v>
      </c>
      <c r="B370" s="12" t="s">
        <v>32</v>
      </c>
      <c r="C370" s="12" t="s">
        <v>964</v>
      </c>
      <c r="D370" s="12" t="s">
        <v>965</v>
      </c>
      <c r="E370" s="17" t="s">
        <v>966</v>
      </c>
      <c r="F370" s="15"/>
      <c r="G370" s="15"/>
      <c r="H370" s="15"/>
      <c r="I370" s="3"/>
      <c r="J370" s="4"/>
      <c r="K370" s="4"/>
      <c r="L370" s="4"/>
      <c r="M370" s="4"/>
      <c r="N370" s="4"/>
      <c r="O370" s="4"/>
      <c r="P370" s="4"/>
      <c r="Q370" s="4"/>
      <c r="R370" s="4"/>
      <c r="S370" s="4"/>
      <c r="T370" s="4"/>
      <c r="U370" s="4"/>
      <c r="V370" s="4"/>
    </row>
    <row r="371" spans="1:22" ht="87.5">
      <c r="A371" s="11">
        <v>44614.381493055553</v>
      </c>
      <c r="B371" s="12" t="s">
        <v>32</v>
      </c>
      <c r="C371" s="12" t="s">
        <v>967</v>
      </c>
      <c r="D371" s="12" t="s">
        <v>968</v>
      </c>
      <c r="E371" s="17" t="s">
        <v>969</v>
      </c>
      <c r="F371" s="15"/>
      <c r="G371" s="15"/>
      <c r="H371" s="15"/>
      <c r="I371" s="3"/>
      <c r="J371" s="4"/>
      <c r="K371" s="4"/>
      <c r="L371" s="4"/>
      <c r="M371" s="4"/>
      <c r="N371" s="4"/>
      <c r="O371" s="4"/>
      <c r="P371" s="4"/>
      <c r="Q371" s="4"/>
      <c r="R371" s="4"/>
      <c r="S371" s="4"/>
      <c r="T371" s="4"/>
      <c r="U371" s="4"/>
      <c r="V371" s="4"/>
    </row>
    <row r="372" spans="1:22" ht="62.5">
      <c r="A372" s="11">
        <v>44614.381493055553</v>
      </c>
      <c r="B372" s="12" t="s">
        <v>14</v>
      </c>
      <c r="C372" s="12" t="s">
        <v>970</v>
      </c>
      <c r="D372" s="12" t="s">
        <v>971</v>
      </c>
      <c r="E372" s="17" t="s">
        <v>972</v>
      </c>
      <c r="F372" s="17" t="s">
        <v>973</v>
      </c>
      <c r="G372" s="15"/>
      <c r="H372" s="15"/>
      <c r="I372" s="3"/>
      <c r="J372" s="4"/>
      <c r="K372" s="4"/>
      <c r="L372" s="4"/>
      <c r="M372" s="4"/>
      <c r="N372" s="4"/>
      <c r="O372" s="4"/>
      <c r="P372" s="4"/>
      <c r="Q372" s="4"/>
      <c r="R372" s="4"/>
      <c r="S372" s="4"/>
      <c r="T372" s="4"/>
      <c r="U372" s="4"/>
      <c r="V372" s="4"/>
    </row>
    <row r="373" spans="1:22" ht="87.5">
      <c r="A373" s="11">
        <v>44614.381493055553</v>
      </c>
      <c r="B373" s="12" t="s">
        <v>14</v>
      </c>
      <c r="C373" s="12" t="s">
        <v>974</v>
      </c>
      <c r="D373" s="12" t="s">
        <v>975</v>
      </c>
      <c r="E373" s="17" t="s">
        <v>976</v>
      </c>
      <c r="F373" s="17" t="s">
        <v>977</v>
      </c>
      <c r="G373" s="15"/>
      <c r="H373" s="15"/>
      <c r="I373" s="3"/>
      <c r="J373" s="4"/>
      <c r="K373" s="4"/>
      <c r="L373" s="4"/>
      <c r="M373" s="4"/>
      <c r="N373" s="4"/>
      <c r="O373" s="4"/>
      <c r="P373" s="4"/>
      <c r="Q373" s="4"/>
      <c r="R373" s="4"/>
      <c r="S373" s="4"/>
      <c r="T373" s="4"/>
      <c r="U373" s="4"/>
      <c r="V373" s="4"/>
    </row>
    <row r="374" spans="1:22" ht="62.5">
      <c r="A374" s="11">
        <v>44614.381493055553</v>
      </c>
      <c r="B374" s="12" t="s">
        <v>14</v>
      </c>
      <c r="C374" s="12" t="s">
        <v>978</v>
      </c>
      <c r="D374" s="12" t="s">
        <v>979</v>
      </c>
      <c r="E374" s="17" t="s">
        <v>980</v>
      </c>
      <c r="F374" s="17" t="s">
        <v>981</v>
      </c>
      <c r="G374" s="15"/>
      <c r="H374" s="15"/>
      <c r="I374" s="3"/>
      <c r="J374" s="4"/>
      <c r="K374" s="4"/>
      <c r="L374" s="4"/>
      <c r="M374" s="4"/>
      <c r="N374" s="4"/>
      <c r="O374" s="4"/>
      <c r="P374" s="4"/>
      <c r="Q374" s="4"/>
      <c r="R374" s="4"/>
      <c r="S374" s="4"/>
      <c r="T374" s="4"/>
      <c r="U374" s="4"/>
      <c r="V374" s="4"/>
    </row>
    <row r="375" spans="1:22" ht="87.5">
      <c r="A375" s="11">
        <v>44614.381481481483</v>
      </c>
      <c r="B375" s="12" t="s">
        <v>14</v>
      </c>
      <c r="C375" s="12" t="s">
        <v>982</v>
      </c>
      <c r="D375" s="12" t="s">
        <v>983</v>
      </c>
      <c r="E375" s="17" t="s">
        <v>984</v>
      </c>
      <c r="F375" s="15"/>
      <c r="G375" s="15"/>
      <c r="H375" s="15"/>
      <c r="I375" s="3"/>
      <c r="J375" s="4"/>
      <c r="K375" s="4"/>
      <c r="L375" s="4"/>
      <c r="M375" s="4"/>
      <c r="N375" s="4"/>
      <c r="O375" s="4"/>
      <c r="P375" s="4"/>
      <c r="Q375" s="4"/>
      <c r="R375" s="4"/>
      <c r="S375" s="4"/>
      <c r="T375" s="4"/>
      <c r="U375" s="4"/>
      <c r="V375" s="4"/>
    </row>
    <row r="376" spans="1:22" ht="87.5">
      <c r="A376" s="11">
        <v>44614.381481481483</v>
      </c>
      <c r="B376" s="12" t="s">
        <v>32</v>
      </c>
      <c r="C376" s="12" t="s">
        <v>985</v>
      </c>
      <c r="D376" s="12" t="s">
        <v>986</v>
      </c>
      <c r="E376" s="17" t="s">
        <v>987</v>
      </c>
      <c r="F376" s="15"/>
      <c r="G376" s="15"/>
      <c r="H376" s="15"/>
      <c r="I376" s="3"/>
      <c r="J376" s="4"/>
      <c r="K376" s="4"/>
      <c r="L376" s="4"/>
      <c r="M376" s="4"/>
      <c r="N376" s="4"/>
      <c r="O376" s="4"/>
      <c r="P376" s="4"/>
      <c r="Q376" s="4"/>
      <c r="R376" s="4"/>
      <c r="S376" s="4"/>
      <c r="T376" s="4"/>
      <c r="U376" s="4"/>
      <c r="V376" s="4"/>
    </row>
    <row r="377" spans="1:22" ht="50">
      <c r="A377" s="11">
        <v>44614.381481481483</v>
      </c>
      <c r="B377" s="12" t="s">
        <v>32</v>
      </c>
      <c r="C377" s="12" t="s">
        <v>988</v>
      </c>
      <c r="D377" s="12" t="s">
        <v>989</v>
      </c>
      <c r="E377" s="17" t="s">
        <v>990</v>
      </c>
      <c r="F377" s="15"/>
      <c r="G377" s="15"/>
      <c r="H377" s="15"/>
      <c r="I377" s="3"/>
      <c r="J377" s="4"/>
      <c r="K377" s="4"/>
      <c r="L377" s="4"/>
      <c r="M377" s="4"/>
      <c r="N377" s="4"/>
      <c r="O377" s="4"/>
      <c r="P377" s="4"/>
      <c r="Q377" s="4"/>
      <c r="R377" s="4"/>
      <c r="S377" s="4"/>
      <c r="T377" s="4"/>
      <c r="U377" s="4"/>
      <c r="V377" s="4"/>
    </row>
    <row r="378" spans="1:22" ht="87.5">
      <c r="A378" s="11">
        <v>44586.594629629632</v>
      </c>
      <c r="B378" s="12" t="s">
        <v>5</v>
      </c>
      <c r="C378" s="12" t="s">
        <v>991</v>
      </c>
      <c r="D378" s="12" t="s">
        <v>992</v>
      </c>
      <c r="E378" s="17" t="s">
        <v>993</v>
      </c>
      <c r="F378" s="15"/>
      <c r="G378" s="15"/>
      <c r="H378" s="15"/>
      <c r="I378" s="3"/>
      <c r="J378" s="4"/>
      <c r="K378" s="4"/>
      <c r="L378" s="4"/>
      <c r="M378" s="4"/>
      <c r="N378" s="4"/>
      <c r="O378" s="4"/>
      <c r="P378" s="4"/>
      <c r="Q378" s="4"/>
      <c r="R378" s="4"/>
      <c r="S378" s="4"/>
      <c r="T378" s="4"/>
      <c r="U378" s="4"/>
      <c r="V378" s="4"/>
    </row>
    <row r="379" spans="1:22" ht="87.5">
      <c r="A379" s="11">
        <v>44586.594629629632</v>
      </c>
      <c r="B379" s="12" t="s">
        <v>5</v>
      </c>
      <c r="C379" s="12" t="s">
        <v>994</v>
      </c>
      <c r="D379" s="12" t="s">
        <v>995</v>
      </c>
      <c r="E379" s="17" t="s">
        <v>996</v>
      </c>
      <c r="F379" s="17" t="s">
        <v>997</v>
      </c>
      <c r="G379" s="15"/>
      <c r="H379" s="15"/>
      <c r="I379" s="3"/>
      <c r="J379" s="4"/>
      <c r="K379" s="4"/>
      <c r="L379" s="4"/>
      <c r="M379" s="4"/>
      <c r="N379" s="4"/>
      <c r="O379" s="4"/>
      <c r="P379" s="4"/>
      <c r="Q379" s="4"/>
      <c r="R379" s="4"/>
      <c r="S379" s="4"/>
      <c r="T379" s="4"/>
      <c r="U379" s="4"/>
      <c r="V379" s="4"/>
    </row>
    <row r="380" spans="1:22" ht="62.5">
      <c r="A380" s="11">
        <v>44586.594618055555</v>
      </c>
      <c r="B380" s="12" t="s">
        <v>14</v>
      </c>
      <c r="C380" s="12" t="s">
        <v>998</v>
      </c>
      <c r="D380" s="12" t="s">
        <v>999</v>
      </c>
      <c r="E380" s="17" t="s">
        <v>1000</v>
      </c>
      <c r="F380" s="15"/>
      <c r="G380" s="15"/>
      <c r="H380" s="15"/>
      <c r="I380" s="3"/>
      <c r="J380" s="4"/>
      <c r="K380" s="4"/>
      <c r="L380" s="4"/>
      <c r="M380" s="4"/>
      <c r="N380" s="4"/>
      <c r="O380" s="4"/>
      <c r="P380" s="4"/>
      <c r="Q380" s="4"/>
      <c r="R380" s="4"/>
      <c r="S380" s="4"/>
      <c r="T380" s="4"/>
      <c r="U380" s="4"/>
      <c r="V380" s="4"/>
    </row>
    <row r="381" spans="1:22" ht="75">
      <c r="A381" s="11">
        <v>44586.594618055555</v>
      </c>
      <c r="B381" s="12" t="s">
        <v>14</v>
      </c>
      <c r="C381" s="12" t="s">
        <v>1001</v>
      </c>
      <c r="D381" s="12" t="s">
        <v>1002</v>
      </c>
      <c r="E381" s="17" t="s">
        <v>1003</v>
      </c>
      <c r="F381" s="15"/>
      <c r="G381" s="15"/>
      <c r="H381" s="15"/>
      <c r="I381" s="3"/>
      <c r="J381" s="4"/>
      <c r="K381" s="4"/>
      <c r="L381" s="4"/>
      <c r="M381" s="4"/>
      <c r="N381" s="4"/>
      <c r="O381" s="4"/>
      <c r="P381" s="4"/>
      <c r="Q381" s="4"/>
      <c r="R381" s="4"/>
      <c r="S381" s="4"/>
      <c r="T381" s="4"/>
      <c r="U381" s="4"/>
      <c r="V381" s="4"/>
    </row>
    <row r="382" spans="1:22" ht="75">
      <c r="A382" s="11">
        <v>44586.594618055555</v>
      </c>
      <c r="B382" s="12" t="s">
        <v>5</v>
      </c>
      <c r="C382" s="12" t="s">
        <v>1004</v>
      </c>
      <c r="D382" s="12" t="s">
        <v>1005</v>
      </c>
      <c r="E382" s="17" t="s">
        <v>1006</v>
      </c>
      <c r="F382" s="17" t="s">
        <v>1007</v>
      </c>
      <c r="G382" s="15"/>
      <c r="H382" s="15"/>
      <c r="I382" s="3"/>
      <c r="J382" s="4"/>
      <c r="K382" s="4"/>
      <c r="L382" s="4"/>
      <c r="M382" s="4"/>
      <c r="N382" s="4"/>
      <c r="O382" s="4"/>
      <c r="P382" s="4"/>
      <c r="Q382" s="4"/>
      <c r="R382" s="4"/>
      <c r="S382" s="4"/>
      <c r="T382" s="4"/>
      <c r="U382" s="4"/>
      <c r="V382" s="4"/>
    </row>
    <row r="383" spans="1:22" ht="75">
      <c r="A383" s="11">
        <v>44586.594618055555</v>
      </c>
      <c r="B383" s="12" t="s">
        <v>5</v>
      </c>
      <c r="C383" s="12" t="s">
        <v>1008</v>
      </c>
      <c r="D383" s="12" t="s">
        <v>1009</v>
      </c>
      <c r="E383" s="17" t="s">
        <v>1010</v>
      </c>
      <c r="F383" s="17" t="s">
        <v>1011</v>
      </c>
      <c r="G383" s="15"/>
      <c r="H383" s="15"/>
      <c r="I383" s="3"/>
      <c r="J383" s="4"/>
      <c r="K383" s="4"/>
      <c r="L383" s="4"/>
      <c r="M383" s="4"/>
      <c r="N383" s="4"/>
      <c r="O383" s="4"/>
      <c r="P383" s="4"/>
      <c r="Q383" s="4"/>
      <c r="R383" s="4"/>
      <c r="S383" s="4"/>
      <c r="T383" s="4"/>
      <c r="U383" s="4"/>
      <c r="V383" s="4"/>
    </row>
    <row r="384" spans="1:22" ht="112.5">
      <c r="A384" s="11">
        <v>44586.594606481478</v>
      </c>
      <c r="B384" s="12" t="s">
        <v>29</v>
      </c>
      <c r="C384" s="12" t="s">
        <v>1012</v>
      </c>
      <c r="D384" s="12" t="s">
        <v>1013</v>
      </c>
      <c r="E384" s="17" t="s">
        <v>1014</v>
      </c>
      <c r="F384" s="15"/>
      <c r="G384" s="15"/>
      <c r="H384" s="15"/>
      <c r="I384" s="3"/>
      <c r="J384" s="4"/>
      <c r="K384" s="4"/>
      <c r="L384" s="4"/>
      <c r="M384" s="4"/>
      <c r="N384" s="4"/>
      <c r="O384" s="4"/>
      <c r="P384" s="4"/>
      <c r="Q384" s="4"/>
      <c r="R384" s="4"/>
      <c r="S384" s="4"/>
      <c r="T384" s="4"/>
      <c r="U384" s="4"/>
      <c r="V384" s="4"/>
    </row>
    <row r="385" spans="1:22" ht="75">
      <c r="A385" s="11">
        <v>44586.594606481478</v>
      </c>
      <c r="B385" s="12" t="s">
        <v>24</v>
      </c>
      <c r="C385" s="12" t="s">
        <v>1015</v>
      </c>
      <c r="D385" s="12" t="s">
        <v>1016</v>
      </c>
      <c r="E385" s="17" t="s">
        <v>1017</v>
      </c>
      <c r="F385" s="15"/>
      <c r="G385" s="15"/>
      <c r="H385" s="15"/>
      <c r="I385" s="3"/>
      <c r="J385" s="4"/>
      <c r="K385" s="4"/>
      <c r="L385" s="4"/>
      <c r="M385" s="4"/>
      <c r="N385" s="4"/>
      <c r="O385" s="4"/>
      <c r="P385" s="4"/>
      <c r="Q385" s="4"/>
      <c r="R385" s="4"/>
      <c r="S385" s="4"/>
      <c r="T385" s="4"/>
      <c r="U385" s="4"/>
      <c r="V385" s="4"/>
    </row>
    <row r="386" spans="1:22" ht="75">
      <c r="A386" s="11">
        <v>44586.594606481478</v>
      </c>
      <c r="B386" s="12" t="s">
        <v>24</v>
      </c>
      <c r="C386" s="12" t="s">
        <v>1018</v>
      </c>
      <c r="D386" s="12" t="s">
        <v>1019</v>
      </c>
      <c r="E386" s="17" t="s">
        <v>1020</v>
      </c>
      <c r="F386" s="15"/>
      <c r="G386" s="15"/>
      <c r="H386" s="15"/>
      <c r="I386" s="3"/>
      <c r="J386" s="4"/>
      <c r="K386" s="4"/>
      <c r="L386" s="4"/>
      <c r="M386" s="4"/>
      <c r="N386" s="4"/>
      <c r="O386" s="4"/>
      <c r="P386" s="4"/>
      <c r="Q386" s="4"/>
      <c r="R386" s="4"/>
      <c r="S386" s="4"/>
      <c r="T386" s="4"/>
      <c r="U386" s="4"/>
      <c r="V386" s="4"/>
    </row>
    <row r="387" spans="1:22" ht="125">
      <c r="A387" s="11">
        <v>44586.594606481478</v>
      </c>
      <c r="B387" s="12" t="s">
        <v>24</v>
      </c>
      <c r="C387" s="12" t="s">
        <v>1021</v>
      </c>
      <c r="D387" s="12" t="s">
        <v>1022</v>
      </c>
      <c r="E387" s="17" t="s">
        <v>1023</v>
      </c>
      <c r="F387" s="15"/>
      <c r="G387" s="15"/>
      <c r="H387" s="15"/>
      <c r="I387" s="3"/>
      <c r="J387" s="4"/>
      <c r="K387" s="4"/>
      <c r="L387" s="4"/>
      <c r="M387" s="4"/>
      <c r="N387" s="4"/>
      <c r="O387" s="4"/>
      <c r="P387" s="4"/>
      <c r="Q387" s="4"/>
      <c r="R387" s="4"/>
      <c r="S387" s="4"/>
      <c r="T387" s="4"/>
      <c r="U387" s="4"/>
      <c r="V387" s="4"/>
    </row>
    <row r="388" spans="1:22" ht="75">
      <c r="A388" s="11">
        <v>44586.594606481478</v>
      </c>
      <c r="B388" s="12" t="s">
        <v>14</v>
      </c>
      <c r="C388" s="12" t="s">
        <v>1024</v>
      </c>
      <c r="D388" s="12" t="s">
        <v>1025</v>
      </c>
      <c r="E388" s="17" t="s">
        <v>1026</v>
      </c>
      <c r="F388" s="15"/>
      <c r="G388" s="15"/>
      <c r="H388" s="15"/>
      <c r="I388" s="3"/>
      <c r="J388" s="4"/>
      <c r="K388" s="4"/>
      <c r="L388" s="4"/>
      <c r="M388" s="4"/>
      <c r="N388" s="4"/>
      <c r="O388" s="4"/>
      <c r="P388" s="4"/>
      <c r="Q388" s="4"/>
      <c r="R388" s="4"/>
      <c r="S388" s="4"/>
      <c r="T388" s="4"/>
      <c r="U388" s="4"/>
      <c r="V388" s="4"/>
    </row>
    <row r="389" spans="1:22" ht="75">
      <c r="A389" s="11">
        <v>44586.594606481478</v>
      </c>
      <c r="B389" s="12" t="s">
        <v>14</v>
      </c>
      <c r="C389" s="12" t="s">
        <v>1027</v>
      </c>
      <c r="D389" s="12" t="s">
        <v>1028</v>
      </c>
      <c r="E389" s="17" t="s">
        <v>1029</v>
      </c>
      <c r="F389" s="15"/>
      <c r="G389" s="15"/>
      <c r="H389" s="15"/>
      <c r="I389" s="3"/>
      <c r="J389" s="4"/>
      <c r="K389" s="4"/>
      <c r="L389" s="4"/>
      <c r="M389" s="4"/>
      <c r="N389" s="4"/>
      <c r="O389" s="4"/>
      <c r="P389" s="4"/>
      <c r="Q389" s="4"/>
      <c r="R389" s="4"/>
      <c r="S389" s="4"/>
      <c r="T389" s="4"/>
      <c r="U389" s="4"/>
      <c r="V389" s="4"/>
    </row>
    <row r="390" spans="1:22" ht="50">
      <c r="A390" s="11">
        <v>44586.594594907408</v>
      </c>
      <c r="B390" s="12" t="s">
        <v>32</v>
      </c>
      <c r="C390" s="12" t="s">
        <v>1030</v>
      </c>
      <c r="D390" s="12" t="s">
        <v>1031</v>
      </c>
      <c r="E390" s="17" t="s">
        <v>1032</v>
      </c>
      <c r="F390" s="15"/>
      <c r="G390" s="15"/>
      <c r="H390" s="15"/>
      <c r="I390" s="3"/>
      <c r="J390" s="4"/>
      <c r="K390" s="4"/>
      <c r="L390" s="4"/>
      <c r="M390" s="4"/>
      <c r="N390" s="4"/>
      <c r="O390" s="4"/>
      <c r="P390" s="4"/>
      <c r="Q390" s="4"/>
      <c r="R390" s="4"/>
      <c r="S390" s="4"/>
      <c r="T390" s="4"/>
      <c r="U390" s="4"/>
      <c r="V390" s="4"/>
    </row>
    <row r="391" spans="1:22" ht="62.5">
      <c r="A391" s="11">
        <v>44586.594594907408</v>
      </c>
      <c r="B391" s="12" t="s">
        <v>32</v>
      </c>
      <c r="C391" s="12" t="s">
        <v>1033</v>
      </c>
      <c r="D391" s="12" t="s">
        <v>1034</v>
      </c>
      <c r="E391" s="17" t="s">
        <v>1035</v>
      </c>
      <c r="F391" s="15"/>
      <c r="G391" s="15"/>
      <c r="H391" s="15"/>
      <c r="I391" s="3"/>
      <c r="J391" s="4"/>
      <c r="K391" s="4"/>
      <c r="L391" s="4"/>
      <c r="M391" s="4"/>
      <c r="N391" s="4"/>
      <c r="O391" s="4"/>
      <c r="P391" s="4"/>
      <c r="Q391" s="4"/>
      <c r="R391" s="4"/>
      <c r="S391" s="4"/>
      <c r="T391" s="4"/>
      <c r="U391" s="4"/>
      <c r="V391" s="4"/>
    </row>
    <row r="392" spans="1:22" ht="62.5">
      <c r="A392" s="11">
        <v>44586.594594907408</v>
      </c>
      <c r="B392" s="12" t="s">
        <v>32</v>
      </c>
      <c r="C392" s="12" t="s">
        <v>1036</v>
      </c>
      <c r="D392" s="12" t="s">
        <v>1037</v>
      </c>
      <c r="E392" s="17" t="s">
        <v>1038</v>
      </c>
      <c r="F392" s="17" t="s">
        <v>1039</v>
      </c>
      <c r="G392" s="15"/>
      <c r="H392" s="15"/>
      <c r="I392" s="3"/>
      <c r="J392" s="4"/>
      <c r="K392" s="4"/>
      <c r="L392" s="4"/>
      <c r="M392" s="4"/>
      <c r="N392" s="4"/>
      <c r="O392" s="4"/>
      <c r="P392" s="4"/>
      <c r="Q392" s="4"/>
      <c r="R392" s="4"/>
      <c r="S392" s="4"/>
      <c r="T392" s="4"/>
      <c r="U392" s="4"/>
      <c r="V392" s="4"/>
    </row>
    <row r="393" spans="1:22" ht="62.5">
      <c r="A393" s="11">
        <v>44586.594594907408</v>
      </c>
      <c r="B393" s="12" t="s">
        <v>29</v>
      </c>
      <c r="C393" s="12" t="s">
        <v>1040</v>
      </c>
      <c r="D393" s="12" t="s">
        <v>1041</v>
      </c>
      <c r="E393" s="17" t="s">
        <v>1042</v>
      </c>
      <c r="F393" s="15"/>
      <c r="G393" s="15"/>
      <c r="H393" s="15"/>
      <c r="I393" s="3"/>
      <c r="J393" s="4"/>
      <c r="K393" s="4"/>
      <c r="L393" s="4"/>
      <c r="M393" s="4"/>
      <c r="N393" s="4"/>
      <c r="O393" s="4"/>
      <c r="P393" s="4"/>
      <c r="Q393" s="4"/>
      <c r="R393" s="4"/>
      <c r="S393" s="4"/>
      <c r="T393" s="4"/>
      <c r="U393" s="4"/>
      <c r="V393" s="4"/>
    </row>
    <row r="394" spans="1:22" ht="87.5">
      <c r="A394" s="11">
        <v>44586.594594907408</v>
      </c>
      <c r="B394" s="12" t="s">
        <v>29</v>
      </c>
      <c r="C394" s="12" t="s">
        <v>1043</v>
      </c>
      <c r="D394" s="12" t="s">
        <v>1044</v>
      </c>
      <c r="E394" s="17" t="s">
        <v>1045</v>
      </c>
      <c r="F394" s="15"/>
      <c r="G394" s="15"/>
      <c r="H394" s="15"/>
      <c r="I394" s="3"/>
      <c r="J394" s="4"/>
      <c r="K394" s="4"/>
      <c r="L394" s="4"/>
      <c r="M394" s="4"/>
      <c r="N394" s="4"/>
      <c r="O394" s="4"/>
      <c r="P394" s="4"/>
      <c r="Q394" s="4"/>
      <c r="R394" s="4"/>
      <c r="S394" s="4"/>
      <c r="T394" s="4"/>
      <c r="U394" s="4"/>
      <c r="V394" s="4"/>
    </row>
    <row r="395" spans="1:22" ht="75">
      <c r="A395" s="11">
        <v>44543.720243055555</v>
      </c>
      <c r="B395" s="12" t="s">
        <v>14</v>
      </c>
      <c r="C395" s="12" t="s">
        <v>1046</v>
      </c>
      <c r="D395" s="12" t="s">
        <v>1047</v>
      </c>
      <c r="E395" s="17" t="s">
        <v>1048</v>
      </c>
      <c r="F395" s="15"/>
      <c r="G395" s="15"/>
      <c r="H395" s="15"/>
      <c r="I395" s="3"/>
      <c r="J395" s="4"/>
      <c r="K395" s="4"/>
      <c r="L395" s="4"/>
      <c r="M395" s="4"/>
      <c r="N395" s="4"/>
      <c r="O395" s="4"/>
      <c r="P395" s="4"/>
      <c r="Q395" s="4"/>
      <c r="R395" s="4"/>
      <c r="S395" s="4"/>
      <c r="T395" s="4"/>
      <c r="U395" s="4"/>
      <c r="V395" s="4"/>
    </row>
    <row r="396" spans="1:22" ht="75">
      <c r="A396" s="11">
        <v>44543.720243055555</v>
      </c>
      <c r="B396" s="12" t="s">
        <v>14</v>
      </c>
      <c r="C396" s="12" t="s">
        <v>1049</v>
      </c>
      <c r="D396" s="12" t="s">
        <v>1050</v>
      </c>
      <c r="E396" s="17" t="s">
        <v>1051</v>
      </c>
      <c r="F396" s="17" t="s">
        <v>1052</v>
      </c>
      <c r="G396" s="15"/>
      <c r="H396" s="15"/>
      <c r="I396" s="3"/>
      <c r="J396" s="4"/>
      <c r="K396" s="4"/>
      <c r="L396" s="4"/>
      <c r="M396" s="4"/>
      <c r="N396" s="4"/>
      <c r="O396" s="4"/>
      <c r="P396" s="4"/>
      <c r="Q396" s="4"/>
      <c r="R396" s="4"/>
      <c r="S396" s="4"/>
      <c r="T396" s="4"/>
      <c r="U396" s="4"/>
      <c r="V396" s="4"/>
    </row>
    <row r="397" spans="1:22" ht="75">
      <c r="A397" s="11">
        <v>44543.720243055555</v>
      </c>
      <c r="B397" s="12" t="s">
        <v>5</v>
      </c>
      <c r="C397" s="12" t="s">
        <v>1053</v>
      </c>
      <c r="D397" s="12" t="s">
        <v>1054</v>
      </c>
      <c r="E397" s="17" t="s">
        <v>1055</v>
      </c>
      <c r="F397" s="17" t="s">
        <v>1056</v>
      </c>
      <c r="G397" s="15"/>
      <c r="H397" s="15"/>
      <c r="I397" s="3"/>
      <c r="J397" s="4"/>
      <c r="K397" s="4"/>
      <c r="L397" s="4"/>
      <c r="M397" s="4"/>
      <c r="N397" s="4"/>
      <c r="O397" s="4"/>
      <c r="P397" s="4"/>
      <c r="Q397" s="4"/>
      <c r="R397" s="4"/>
      <c r="S397" s="4"/>
      <c r="T397" s="4"/>
      <c r="U397" s="4"/>
      <c r="V397" s="4"/>
    </row>
    <row r="398" spans="1:22" ht="75">
      <c r="A398" s="11">
        <v>44543.720243055555</v>
      </c>
      <c r="B398" s="12" t="s">
        <v>5</v>
      </c>
      <c r="C398" s="12" t="s">
        <v>1057</v>
      </c>
      <c r="D398" s="12" t="s">
        <v>1058</v>
      </c>
      <c r="E398" s="17" t="s">
        <v>1059</v>
      </c>
      <c r="F398" s="15"/>
      <c r="G398" s="15"/>
      <c r="H398" s="15"/>
      <c r="I398" s="3"/>
      <c r="J398" s="4"/>
      <c r="K398" s="4"/>
      <c r="L398" s="4"/>
      <c r="M398" s="4"/>
      <c r="N398" s="4"/>
      <c r="O398" s="4"/>
      <c r="P398" s="4"/>
      <c r="Q398" s="4"/>
      <c r="R398" s="4"/>
      <c r="S398" s="4"/>
      <c r="T398" s="4"/>
      <c r="U398" s="4"/>
      <c r="V398" s="4"/>
    </row>
    <row r="399" spans="1:22" ht="75">
      <c r="A399" s="11">
        <v>44543.720243055555</v>
      </c>
      <c r="B399" s="12" t="s">
        <v>5</v>
      </c>
      <c r="C399" s="12" t="s">
        <v>1060</v>
      </c>
      <c r="D399" s="12" t="s">
        <v>1061</v>
      </c>
      <c r="E399" s="17" t="s">
        <v>1062</v>
      </c>
      <c r="F399" s="15"/>
      <c r="G399" s="15"/>
      <c r="H399" s="15"/>
      <c r="I399" s="3"/>
      <c r="J399" s="4"/>
      <c r="K399" s="4"/>
      <c r="L399" s="4"/>
      <c r="M399" s="4"/>
      <c r="N399" s="4"/>
      <c r="O399" s="4"/>
      <c r="P399" s="4"/>
      <c r="Q399" s="4"/>
      <c r="R399" s="4"/>
      <c r="S399" s="4"/>
      <c r="T399" s="4"/>
      <c r="U399" s="4"/>
      <c r="V399" s="4"/>
    </row>
    <row r="400" spans="1:22" ht="137.5">
      <c r="A400" s="11">
        <v>44543.720243055555</v>
      </c>
      <c r="B400" s="12" t="s">
        <v>5</v>
      </c>
      <c r="C400" s="12" t="s">
        <v>1063</v>
      </c>
      <c r="D400" s="12" t="s">
        <v>1064</v>
      </c>
      <c r="E400" s="17" t="s">
        <v>1065</v>
      </c>
      <c r="F400" s="17" t="s">
        <v>1066</v>
      </c>
      <c r="G400" s="17" t="s">
        <v>1067</v>
      </c>
      <c r="H400" s="17" t="s">
        <v>1068</v>
      </c>
      <c r="I400" s="3"/>
      <c r="J400" s="4"/>
      <c r="K400" s="4"/>
      <c r="L400" s="4"/>
      <c r="M400" s="4"/>
      <c r="N400" s="4"/>
      <c r="O400" s="4"/>
      <c r="P400" s="4"/>
      <c r="Q400" s="4"/>
      <c r="R400" s="4"/>
      <c r="S400" s="4"/>
      <c r="T400" s="4"/>
      <c r="U400" s="4"/>
      <c r="V400" s="4"/>
    </row>
    <row r="401" spans="1:22" ht="75">
      <c r="A401" s="11">
        <v>44543.720231481479</v>
      </c>
      <c r="B401" s="12" t="s">
        <v>24</v>
      </c>
      <c r="C401" s="12" t="s">
        <v>1069</v>
      </c>
      <c r="D401" s="12" t="s">
        <v>1070</v>
      </c>
      <c r="E401" s="17" t="s">
        <v>1071</v>
      </c>
      <c r="F401" s="17" t="s">
        <v>1072</v>
      </c>
      <c r="G401" s="15"/>
      <c r="H401" s="15"/>
      <c r="I401" s="3"/>
      <c r="J401" s="4"/>
      <c r="K401" s="4"/>
      <c r="L401" s="4"/>
      <c r="M401" s="4"/>
      <c r="N401" s="4"/>
      <c r="O401" s="4"/>
      <c r="P401" s="4"/>
      <c r="Q401" s="4"/>
      <c r="R401" s="4"/>
      <c r="S401" s="4"/>
      <c r="T401" s="4"/>
      <c r="U401" s="4"/>
      <c r="V401" s="4"/>
    </row>
    <row r="402" spans="1:22" ht="62.5">
      <c r="A402" s="11">
        <v>44543.720231481479</v>
      </c>
      <c r="B402" s="12" t="s">
        <v>24</v>
      </c>
      <c r="C402" s="12" t="s">
        <v>1073</v>
      </c>
      <c r="D402" s="12" t="s">
        <v>1074</v>
      </c>
      <c r="E402" s="17" t="s">
        <v>1075</v>
      </c>
      <c r="F402" s="15"/>
      <c r="G402" s="15"/>
      <c r="H402" s="15"/>
      <c r="I402" s="3"/>
      <c r="J402" s="4"/>
      <c r="K402" s="4"/>
      <c r="L402" s="4"/>
      <c r="M402" s="4"/>
      <c r="N402" s="4"/>
      <c r="O402" s="4"/>
      <c r="P402" s="4"/>
      <c r="Q402" s="4"/>
      <c r="R402" s="4"/>
      <c r="S402" s="4"/>
      <c r="T402" s="4"/>
      <c r="U402" s="4"/>
      <c r="V402" s="4"/>
    </row>
    <row r="403" spans="1:22" ht="75">
      <c r="A403" s="11">
        <v>44543.720231481479</v>
      </c>
      <c r="B403" s="12" t="s">
        <v>24</v>
      </c>
      <c r="C403" s="12" t="s">
        <v>1076</v>
      </c>
      <c r="D403" s="12" t="s">
        <v>1077</v>
      </c>
      <c r="E403" s="17" t="s">
        <v>1078</v>
      </c>
      <c r="F403" s="15"/>
      <c r="G403" s="15"/>
      <c r="H403" s="15"/>
      <c r="I403" s="3"/>
      <c r="J403" s="4"/>
      <c r="K403" s="4"/>
      <c r="L403" s="4"/>
      <c r="M403" s="4"/>
      <c r="N403" s="4"/>
      <c r="O403" s="4"/>
      <c r="P403" s="4"/>
      <c r="Q403" s="4"/>
      <c r="R403" s="4"/>
      <c r="S403" s="4"/>
      <c r="T403" s="4"/>
      <c r="U403" s="4"/>
      <c r="V403" s="4"/>
    </row>
    <row r="404" spans="1:22" ht="62.5">
      <c r="A404" s="11">
        <v>44543.720231481479</v>
      </c>
      <c r="B404" s="12" t="s">
        <v>24</v>
      </c>
      <c r="C404" s="12" t="s">
        <v>1079</v>
      </c>
      <c r="D404" s="12" t="s">
        <v>1080</v>
      </c>
      <c r="E404" s="17" t="s">
        <v>1081</v>
      </c>
      <c r="F404" s="15"/>
      <c r="G404" s="15"/>
      <c r="H404" s="15"/>
      <c r="I404" s="3"/>
      <c r="J404" s="4"/>
      <c r="K404" s="4"/>
      <c r="L404" s="4"/>
      <c r="M404" s="4"/>
      <c r="N404" s="4"/>
      <c r="O404" s="4"/>
      <c r="P404" s="4"/>
      <c r="Q404" s="4"/>
      <c r="R404" s="4"/>
      <c r="S404" s="4"/>
      <c r="T404" s="4"/>
      <c r="U404" s="4"/>
      <c r="V404" s="4"/>
    </row>
    <row r="405" spans="1:22" ht="87.5">
      <c r="A405" s="11">
        <v>44543.720231481479</v>
      </c>
      <c r="B405" s="12" t="s">
        <v>14</v>
      </c>
      <c r="C405" s="12" t="s">
        <v>1082</v>
      </c>
      <c r="D405" s="12" t="s">
        <v>1083</v>
      </c>
      <c r="E405" s="17" t="s">
        <v>1084</v>
      </c>
      <c r="F405" s="17" t="s">
        <v>1085</v>
      </c>
      <c r="G405" s="15"/>
      <c r="H405" s="15"/>
      <c r="I405" s="3"/>
      <c r="J405" s="4"/>
      <c r="K405" s="4"/>
      <c r="L405" s="4"/>
      <c r="M405" s="4"/>
      <c r="N405" s="4"/>
      <c r="O405" s="4"/>
      <c r="P405" s="4"/>
      <c r="Q405" s="4"/>
      <c r="R405" s="4"/>
      <c r="S405" s="4"/>
      <c r="T405" s="4"/>
      <c r="U405" s="4"/>
      <c r="V405" s="4"/>
    </row>
    <row r="406" spans="1:22" ht="75">
      <c r="A406" s="11">
        <v>44543.720219907409</v>
      </c>
      <c r="B406" s="12" t="s">
        <v>29</v>
      </c>
      <c r="C406" s="12" t="s">
        <v>1086</v>
      </c>
      <c r="D406" s="12" t="s">
        <v>1087</v>
      </c>
      <c r="E406" s="17" t="s">
        <v>1088</v>
      </c>
      <c r="F406" s="15"/>
      <c r="G406" s="15"/>
      <c r="H406" s="15"/>
      <c r="I406" s="3"/>
      <c r="J406" s="4"/>
      <c r="K406" s="4"/>
      <c r="L406" s="4"/>
      <c r="M406" s="4"/>
      <c r="N406" s="4"/>
      <c r="O406" s="4"/>
      <c r="P406" s="4"/>
      <c r="Q406" s="4"/>
      <c r="R406" s="4"/>
      <c r="S406" s="4"/>
      <c r="T406" s="4"/>
      <c r="U406" s="4"/>
      <c r="V406" s="4"/>
    </row>
    <row r="407" spans="1:22" ht="50">
      <c r="A407" s="11">
        <v>44543.720219907409</v>
      </c>
      <c r="B407" s="12" t="s">
        <v>29</v>
      </c>
      <c r="C407" s="12" t="s">
        <v>1089</v>
      </c>
      <c r="D407" s="12" t="s">
        <v>1090</v>
      </c>
      <c r="E407" s="17" t="s">
        <v>1091</v>
      </c>
      <c r="F407" s="15"/>
      <c r="G407" s="15"/>
      <c r="H407" s="15"/>
      <c r="I407" s="3"/>
      <c r="J407" s="4"/>
      <c r="K407" s="4"/>
      <c r="L407" s="4"/>
      <c r="M407" s="4"/>
      <c r="N407" s="4"/>
      <c r="O407" s="4"/>
      <c r="P407" s="4"/>
      <c r="Q407" s="4"/>
      <c r="R407" s="4"/>
      <c r="S407" s="4"/>
      <c r="T407" s="4"/>
      <c r="U407" s="4"/>
      <c r="V407" s="4"/>
    </row>
    <row r="408" spans="1:22" ht="112.5">
      <c r="A408" s="11">
        <v>44543.720219907409</v>
      </c>
      <c r="B408" s="12" t="s">
        <v>29</v>
      </c>
      <c r="C408" s="12" t="s">
        <v>1092</v>
      </c>
      <c r="D408" s="12" t="s">
        <v>1093</v>
      </c>
      <c r="E408" s="17" t="s">
        <v>1094</v>
      </c>
      <c r="F408" s="15"/>
      <c r="G408" s="15"/>
      <c r="H408" s="15"/>
      <c r="I408" s="3"/>
      <c r="J408" s="4"/>
      <c r="K408" s="4"/>
      <c r="L408" s="4"/>
      <c r="M408" s="4"/>
      <c r="N408" s="4"/>
      <c r="O408" s="4"/>
      <c r="P408" s="4"/>
      <c r="Q408" s="4"/>
      <c r="R408" s="4"/>
      <c r="S408" s="4"/>
      <c r="T408" s="4"/>
      <c r="U408" s="4"/>
      <c r="V408" s="4"/>
    </row>
    <row r="409" spans="1:22" ht="100">
      <c r="A409" s="11">
        <v>44543.720219907409</v>
      </c>
      <c r="B409" s="12" t="s">
        <v>29</v>
      </c>
      <c r="C409" s="12" t="s">
        <v>1095</v>
      </c>
      <c r="D409" s="12" t="s">
        <v>1096</v>
      </c>
      <c r="E409" s="17" t="s">
        <v>1097</v>
      </c>
      <c r="F409" s="17" t="s">
        <v>1098</v>
      </c>
      <c r="G409" s="15"/>
      <c r="H409" s="15"/>
      <c r="I409" s="3"/>
      <c r="J409" s="4"/>
      <c r="K409" s="4"/>
      <c r="L409" s="4"/>
      <c r="M409" s="4"/>
      <c r="N409" s="4"/>
      <c r="O409" s="4"/>
      <c r="P409" s="4"/>
      <c r="Q409" s="4"/>
      <c r="R409" s="4"/>
      <c r="S409" s="4"/>
      <c r="T409" s="4"/>
      <c r="U409" s="4"/>
      <c r="V409" s="4"/>
    </row>
    <row r="410" spans="1:22" ht="87.5">
      <c r="A410" s="11">
        <v>44543.720208333332</v>
      </c>
      <c r="B410" s="12" t="s">
        <v>14</v>
      </c>
      <c r="C410" s="12" t="s">
        <v>1099</v>
      </c>
      <c r="D410" s="12" t="s">
        <v>1100</v>
      </c>
      <c r="E410" s="17" t="s">
        <v>1101</v>
      </c>
      <c r="F410" s="15"/>
      <c r="G410" s="15"/>
      <c r="H410" s="15"/>
      <c r="I410" s="3"/>
      <c r="J410" s="4"/>
      <c r="K410" s="4"/>
      <c r="L410" s="4"/>
      <c r="M410" s="4"/>
      <c r="N410" s="4"/>
      <c r="O410" s="4"/>
      <c r="P410" s="4"/>
      <c r="Q410" s="4"/>
      <c r="R410" s="4"/>
      <c r="S410" s="4"/>
      <c r="T410" s="4"/>
      <c r="U410" s="4"/>
      <c r="V410" s="4"/>
    </row>
    <row r="411" spans="1:22" ht="87.5">
      <c r="A411" s="11">
        <v>44543.720208333332</v>
      </c>
      <c r="B411" s="12" t="s">
        <v>29</v>
      </c>
      <c r="C411" s="12" t="s">
        <v>1102</v>
      </c>
      <c r="D411" s="12" t="s">
        <v>1103</v>
      </c>
      <c r="E411" s="17" t="s">
        <v>1104</v>
      </c>
      <c r="F411" s="15"/>
      <c r="G411" s="15"/>
      <c r="H411" s="15"/>
      <c r="I411" s="3"/>
      <c r="J411" s="4"/>
      <c r="K411" s="4"/>
      <c r="L411" s="4"/>
      <c r="M411" s="4"/>
      <c r="N411" s="4"/>
      <c r="O411" s="4"/>
      <c r="P411" s="4"/>
      <c r="Q411" s="4"/>
      <c r="R411" s="4"/>
      <c r="S411" s="4"/>
      <c r="T411" s="4"/>
      <c r="U411" s="4"/>
      <c r="V411" s="4"/>
    </row>
    <row r="412" spans="1:22" ht="100">
      <c r="A412" s="11">
        <v>44543.720208333332</v>
      </c>
      <c r="B412" s="12" t="s">
        <v>32</v>
      </c>
      <c r="C412" s="12" t="s">
        <v>1105</v>
      </c>
      <c r="D412" s="12" t="s">
        <v>1106</v>
      </c>
      <c r="E412" s="17" t="s">
        <v>1107</v>
      </c>
      <c r="F412" s="17" t="s">
        <v>1108</v>
      </c>
      <c r="G412" s="17" t="s">
        <v>1109</v>
      </c>
      <c r="H412" s="15"/>
      <c r="I412" s="3"/>
      <c r="J412" s="4"/>
      <c r="K412" s="4"/>
      <c r="L412" s="4"/>
      <c r="M412" s="4"/>
      <c r="N412" s="4"/>
      <c r="O412" s="4"/>
      <c r="P412" s="4"/>
      <c r="Q412" s="4"/>
      <c r="R412" s="4"/>
      <c r="S412" s="4"/>
      <c r="T412" s="4"/>
      <c r="U412" s="4"/>
      <c r="V412" s="4"/>
    </row>
    <row r="413" spans="1:22" ht="62.5">
      <c r="A413" s="11">
        <v>44543.720208333332</v>
      </c>
      <c r="B413" s="12" t="s">
        <v>32</v>
      </c>
      <c r="C413" s="12" t="s">
        <v>1110</v>
      </c>
      <c r="D413" s="12" t="s">
        <v>1111</v>
      </c>
      <c r="E413" s="17" t="s">
        <v>1112</v>
      </c>
      <c r="F413" s="15"/>
      <c r="G413" s="15"/>
      <c r="H413" s="15"/>
      <c r="I413" s="3"/>
      <c r="J413" s="4"/>
      <c r="K413" s="4"/>
      <c r="L413" s="4"/>
      <c r="M413" s="4"/>
      <c r="N413" s="4"/>
      <c r="O413" s="4"/>
      <c r="P413" s="4"/>
      <c r="Q413" s="4"/>
      <c r="R413" s="4"/>
      <c r="S413" s="4"/>
      <c r="T413" s="4"/>
      <c r="U413" s="4"/>
      <c r="V413" s="4"/>
    </row>
    <row r="414" spans="1:22" ht="100">
      <c r="A414" s="11">
        <v>44543.720208333332</v>
      </c>
      <c r="B414" s="12" t="s">
        <v>32</v>
      </c>
      <c r="C414" s="12" t="s">
        <v>1113</v>
      </c>
      <c r="D414" s="12" t="s">
        <v>1114</v>
      </c>
      <c r="E414" s="17" t="s">
        <v>1115</v>
      </c>
      <c r="F414" s="17" t="s">
        <v>1116</v>
      </c>
      <c r="G414" s="15"/>
      <c r="H414" s="15"/>
      <c r="I414" s="3"/>
      <c r="J414" s="4"/>
      <c r="K414" s="4"/>
      <c r="L414" s="4"/>
      <c r="M414" s="4"/>
      <c r="N414" s="4"/>
      <c r="O414" s="4"/>
      <c r="P414" s="4"/>
      <c r="Q414" s="4"/>
      <c r="R414" s="4"/>
      <c r="S414" s="4"/>
      <c r="T414" s="4"/>
      <c r="U414" s="4"/>
      <c r="V414" s="4"/>
    </row>
    <row r="415" spans="1:22" ht="62.5">
      <c r="A415" s="11">
        <v>44543.720208333332</v>
      </c>
      <c r="B415" s="12" t="s">
        <v>32</v>
      </c>
      <c r="C415" s="12" t="s">
        <v>1117</v>
      </c>
      <c r="D415" s="12" t="s">
        <v>1118</v>
      </c>
      <c r="E415" s="17" t="s">
        <v>1119</v>
      </c>
      <c r="F415" s="15"/>
      <c r="G415" s="15"/>
      <c r="H415" s="15"/>
      <c r="I415" s="3"/>
      <c r="J415" s="4"/>
      <c r="K415" s="4"/>
      <c r="L415" s="4"/>
      <c r="M415" s="4"/>
      <c r="N415" s="4"/>
      <c r="O415" s="4"/>
      <c r="P415" s="4"/>
      <c r="Q415" s="4"/>
      <c r="R415" s="4"/>
      <c r="S415" s="4"/>
      <c r="T415" s="4"/>
      <c r="U415" s="4"/>
      <c r="V415" s="4"/>
    </row>
    <row r="416" spans="1:22" ht="62.5">
      <c r="A416" s="11">
        <v>44543.720196759255</v>
      </c>
      <c r="B416" s="12" t="s">
        <v>32</v>
      </c>
      <c r="C416" s="12" t="s">
        <v>1120</v>
      </c>
      <c r="D416" s="12" t="s">
        <v>1121</v>
      </c>
      <c r="E416" s="17" t="s">
        <v>1122</v>
      </c>
      <c r="F416" s="17" t="s">
        <v>1123</v>
      </c>
      <c r="G416" s="15"/>
      <c r="H416" s="15"/>
      <c r="I416" s="3"/>
      <c r="J416" s="4"/>
      <c r="K416" s="4"/>
      <c r="L416" s="4"/>
      <c r="M416" s="4"/>
      <c r="N416" s="4"/>
      <c r="O416" s="4"/>
      <c r="P416" s="4"/>
      <c r="Q416" s="4"/>
      <c r="R416" s="4"/>
      <c r="S416" s="4"/>
      <c r="T416" s="4"/>
      <c r="U416" s="4"/>
      <c r="V416" s="4"/>
    </row>
    <row r="417" spans="1:22" ht="75">
      <c r="A417" s="11">
        <v>44522.542557870373</v>
      </c>
      <c r="B417" s="12" t="s">
        <v>5</v>
      </c>
      <c r="C417" s="12" t="s">
        <v>1124</v>
      </c>
      <c r="D417" s="12" t="s">
        <v>1125</v>
      </c>
      <c r="E417" s="17" t="s">
        <v>1126</v>
      </c>
      <c r="F417" s="17" t="s">
        <v>1127</v>
      </c>
      <c r="G417" s="15"/>
      <c r="H417" s="15"/>
      <c r="I417" s="3"/>
      <c r="J417" s="4"/>
      <c r="K417" s="4"/>
      <c r="L417" s="4"/>
      <c r="M417" s="4"/>
      <c r="N417" s="4"/>
      <c r="O417" s="4"/>
      <c r="P417" s="4"/>
      <c r="Q417" s="4"/>
      <c r="R417" s="4"/>
      <c r="S417" s="4"/>
      <c r="T417" s="4"/>
      <c r="U417" s="4"/>
      <c r="V417" s="4"/>
    </row>
    <row r="418" spans="1:22" ht="125">
      <c r="A418" s="11">
        <v>44522.542557870373</v>
      </c>
      <c r="B418" s="12" t="s">
        <v>5</v>
      </c>
      <c r="C418" s="12" t="s">
        <v>1128</v>
      </c>
      <c r="D418" s="12" t="s">
        <v>1129</v>
      </c>
      <c r="E418" s="17" t="s">
        <v>1130</v>
      </c>
      <c r="F418" s="15"/>
      <c r="G418" s="15"/>
      <c r="H418" s="15"/>
      <c r="I418" s="3"/>
      <c r="J418" s="4"/>
      <c r="K418" s="4"/>
      <c r="L418" s="4"/>
      <c r="M418" s="4"/>
      <c r="N418" s="4"/>
      <c r="O418" s="4"/>
      <c r="P418" s="4"/>
      <c r="Q418" s="4"/>
      <c r="R418" s="4"/>
      <c r="S418" s="4"/>
      <c r="T418" s="4"/>
      <c r="U418" s="4"/>
      <c r="V418" s="4"/>
    </row>
    <row r="419" spans="1:22" ht="112.5">
      <c r="A419" s="11">
        <v>44522.542557870373</v>
      </c>
      <c r="B419" s="12" t="s">
        <v>5</v>
      </c>
      <c r="C419" s="12" t="s">
        <v>1131</v>
      </c>
      <c r="D419" s="12" t="s">
        <v>1132</v>
      </c>
      <c r="E419" s="17" t="s">
        <v>1133</v>
      </c>
      <c r="F419" s="17" t="s">
        <v>1134</v>
      </c>
      <c r="G419" s="15"/>
      <c r="H419" s="15"/>
      <c r="I419" s="3"/>
      <c r="J419" s="4"/>
      <c r="K419" s="4"/>
      <c r="L419" s="4"/>
      <c r="M419" s="4"/>
      <c r="N419" s="4"/>
      <c r="O419" s="4"/>
      <c r="P419" s="4"/>
      <c r="Q419" s="4"/>
      <c r="R419" s="4"/>
      <c r="S419" s="4"/>
      <c r="T419" s="4"/>
      <c r="U419" s="4"/>
      <c r="V419" s="4"/>
    </row>
    <row r="420" spans="1:22" ht="125">
      <c r="A420" s="11">
        <v>44522.542546296296</v>
      </c>
      <c r="B420" s="12" t="s">
        <v>14</v>
      </c>
      <c r="C420" s="12" t="s">
        <v>1135</v>
      </c>
      <c r="D420" s="12" t="s">
        <v>1136</v>
      </c>
      <c r="E420" s="17" t="s">
        <v>1137</v>
      </c>
      <c r="F420" s="17" t="s">
        <v>1138</v>
      </c>
      <c r="G420" s="15"/>
      <c r="H420" s="15"/>
      <c r="I420" s="3"/>
      <c r="J420" s="4"/>
      <c r="K420" s="4"/>
      <c r="L420" s="4"/>
      <c r="M420" s="4"/>
      <c r="N420" s="4"/>
      <c r="O420" s="4"/>
      <c r="P420" s="4"/>
      <c r="Q420" s="4"/>
      <c r="R420" s="4"/>
      <c r="S420" s="4"/>
      <c r="T420" s="4"/>
      <c r="U420" s="4"/>
      <c r="V420" s="4"/>
    </row>
    <row r="421" spans="1:22" ht="75">
      <c r="A421" s="11">
        <v>44522.542546296296</v>
      </c>
      <c r="B421" s="12" t="s">
        <v>14</v>
      </c>
      <c r="C421" s="12" t="s">
        <v>1139</v>
      </c>
      <c r="D421" s="12" t="s">
        <v>1140</v>
      </c>
      <c r="E421" s="17" t="s">
        <v>1141</v>
      </c>
      <c r="F421" s="17" t="s">
        <v>1142</v>
      </c>
      <c r="G421" s="15"/>
      <c r="H421" s="15"/>
      <c r="I421" s="3"/>
      <c r="J421" s="4"/>
      <c r="K421" s="4"/>
      <c r="L421" s="4"/>
      <c r="M421" s="4"/>
      <c r="N421" s="4"/>
      <c r="O421" s="4"/>
      <c r="P421" s="4"/>
      <c r="Q421" s="4"/>
      <c r="R421" s="4"/>
      <c r="S421" s="4"/>
      <c r="T421" s="4"/>
      <c r="U421" s="4"/>
      <c r="V421" s="4"/>
    </row>
    <row r="422" spans="1:22" ht="100">
      <c r="A422" s="11">
        <v>44522.542546296296</v>
      </c>
      <c r="B422" s="12" t="s">
        <v>14</v>
      </c>
      <c r="C422" s="12" t="s">
        <v>1143</v>
      </c>
      <c r="D422" s="12" t="s">
        <v>1144</v>
      </c>
      <c r="E422" s="17" t="s">
        <v>1145</v>
      </c>
      <c r="F422" s="15"/>
      <c r="G422" s="15"/>
      <c r="H422" s="15"/>
      <c r="I422" s="3"/>
      <c r="J422" s="4"/>
      <c r="K422" s="4"/>
      <c r="L422" s="4"/>
      <c r="M422" s="4"/>
      <c r="N422" s="4"/>
      <c r="O422" s="4"/>
      <c r="P422" s="4"/>
      <c r="Q422" s="4"/>
      <c r="R422" s="4"/>
      <c r="S422" s="4"/>
      <c r="T422" s="4"/>
      <c r="U422" s="4"/>
      <c r="V422" s="4"/>
    </row>
    <row r="423" spans="1:22" ht="112.5">
      <c r="A423" s="11">
        <v>44522.542546296296</v>
      </c>
      <c r="B423" s="12" t="s">
        <v>14</v>
      </c>
      <c r="C423" s="12" t="s">
        <v>1146</v>
      </c>
      <c r="D423" s="12" t="s">
        <v>1147</v>
      </c>
      <c r="E423" s="17" t="s">
        <v>1148</v>
      </c>
      <c r="F423" s="17" t="s">
        <v>1149</v>
      </c>
      <c r="G423" s="15"/>
      <c r="H423" s="15"/>
      <c r="I423" s="3"/>
      <c r="J423" s="4"/>
      <c r="K423" s="4"/>
      <c r="L423" s="4"/>
      <c r="M423" s="4"/>
      <c r="N423" s="4"/>
      <c r="O423" s="4"/>
      <c r="P423" s="4"/>
      <c r="Q423" s="4"/>
      <c r="R423" s="4"/>
      <c r="S423" s="4"/>
      <c r="T423" s="4"/>
      <c r="U423" s="4"/>
      <c r="V423" s="4"/>
    </row>
    <row r="424" spans="1:22" ht="75">
      <c r="A424" s="11">
        <v>44522.542546296296</v>
      </c>
      <c r="B424" s="12" t="s">
        <v>14</v>
      </c>
      <c r="C424" s="12" t="s">
        <v>1150</v>
      </c>
      <c r="D424" s="12" t="s">
        <v>1151</v>
      </c>
      <c r="E424" s="17" t="s">
        <v>1152</v>
      </c>
      <c r="F424" s="15"/>
      <c r="G424" s="15"/>
      <c r="H424" s="15"/>
      <c r="I424" s="3"/>
      <c r="J424" s="4"/>
      <c r="K424" s="4"/>
      <c r="L424" s="4"/>
      <c r="M424" s="4"/>
      <c r="N424" s="4"/>
      <c r="O424" s="4"/>
      <c r="P424" s="4"/>
      <c r="Q424" s="4"/>
      <c r="R424" s="4"/>
      <c r="S424" s="4"/>
      <c r="T424" s="4"/>
      <c r="U424" s="4"/>
      <c r="V424" s="4"/>
    </row>
    <row r="425" spans="1:22" ht="50">
      <c r="A425" s="11">
        <v>44522.542546296296</v>
      </c>
      <c r="B425" s="12" t="s">
        <v>5</v>
      </c>
      <c r="C425" s="12" t="s">
        <v>1153</v>
      </c>
      <c r="D425" s="12" t="s">
        <v>1154</v>
      </c>
      <c r="E425" s="17" t="s">
        <v>1155</v>
      </c>
      <c r="F425" s="17" t="s">
        <v>1156</v>
      </c>
      <c r="G425" s="15"/>
      <c r="H425" s="15"/>
      <c r="I425" s="3"/>
      <c r="J425" s="4"/>
      <c r="K425" s="4"/>
      <c r="L425" s="4"/>
      <c r="M425" s="4"/>
      <c r="N425" s="4"/>
      <c r="O425" s="4"/>
      <c r="P425" s="4"/>
      <c r="Q425" s="4"/>
      <c r="R425" s="4"/>
      <c r="S425" s="4"/>
      <c r="T425" s="4"/>
      <c r="U425" s="4"/>
      <c r="V425" s="4"/>
    </row>
    <row r="426" spans="1:22" ht="100">
      <c r="A426" s="11">
        <v>44522.542534722219</v>
      </c>
      <c r="B426" s="12" t="s">
        <v>32</v>
      </c>
      <c r="C426" s="12" t="s">
        <v>1157</v>
      </c>
      <c r="D426" s="12" t="s">
        <v>1158</v>
      </c>
      <c r="E426" s="17" t="s">
        <v>1159</v>
      </c>
      <c r="F426" s="17" t="s">
        <v>1160</v>
      </c>
      <c r="G426" s="15"/>
      <c r="H426" s="15"/>
      <c r="I426" s="3"/>
      <c r="J426" s="4"/>
      <c r="K426" s="4"/>
      <c r="L426" s="4"/>
      <c r="M426" s="4"/>
      <c r="N426" s="4"/>
      <c r="O426" s="4"/>
      <c r="P426" s="4"/>
      <c r="Q426" s="4"/>
      <c r="R426" s="4"/>
      <c r="S426" s="4"/>
      <c r="T426" s="4"/>
      <c r="U426" s="4"/>
      <c r="V426" s="4"/>
    </row>
    <row r="427" spans="1:22" ht="62.5">
      <c r="A427" s="11">
        <v>44522.542534722219</v>
      </c>
      <c r="B427" s="12" t="s">
        <v>29</v>
      </c>
      <c r="C427" s="12" t="s">
        <v>1161</v>
      </c>
      <c r="D427" s="12" t="s">
        <v>1162</v>
      </c>
      <c r="E427" s="17" t="s">
        <v>1163</v>
      </c>
      <c r="F427" s="17" t="s">
        <v>1164</v>
      </c>
      <c r="G427" s="15"/>
      <c r="H427" s="15"/>
      <c r="I427" s="3"/>
      <c r="J427" s="4"/>
      <c r="K427" s="4"/>
      <c r="L427" s="4"/>
      <c r="M427" s="4"/>
      <c r="N427" s="4"/>
      <c r="O427" s="4"/>
      <c r="P427" s="4"/>
      <c r="Q427" s="4"/>
      <c r="R427" s="4"/>
      <c r="S427" s="4"/>
      <c r="T427" s="4"/>
      <c r="U427" s="4"/>
      <c r="V427" s="4"/>
    </row>
    <row r="428" spans="1:22" ht="100">
      <c r="A428" s="11">
        <v>44522.542534722219</v>
      </c>
      <c r="B428" s="12" t="s">
        <v>29</v>
      </c>
      <c r="C428" s="12" t="s">
        <v>1165</v>
      </c>
      <c r="D428" s="12" t="s">
        <v>1166</v>
      </c>
      <c r="E428" s="17" t="s">
        <v>1167</v>
      </c>
      <c r="F428" s="15"/>
      <c r="G428" s="15"/>
      <c r="H428" s="15"/>
      <c r="I428" s="3"/>
      <c r="J428" s="4"/>
      <c r="K428" s="4"/>
      <c r="L428" s="4"/>
      <c r="M428" s="4"/>
      <c r="N428" s="4"/>
      <c r="O428" s="4"/>
      <c r="P428" s="4"/>
      <c r="Q428" s="4"/>
      <c r="R428" s="4"/>
      <c r="S428" s="4"/>
      <c r="T428" s="4"/>
      <c r="U428" s="4"/>
      <c r="V428" s="4"/>
    </row>
    <row r="429" spans="1:22" ht="62.5">
      <c r="A429" s="11">
        <v>44522.542534722219</v>
      </c>
      <c r="B429" s="12" t="s">
        <v>29</v>
      </c>
      <c r="C429" s="12" t="s">
        <v>1168</v>
      </c>
      <c r="D429" s="12" t="s">
        <v>1169</v>
      </c>
      <c r="E429" s="17" t="s">
        <v>1170</v>
      </c>
      <c r="F429" s="17" t="s">
        <v>1171</v>
      </c>
      <c r="G429" s="15"/>
      <c r="H429" s="15"/>
      <c r="I429" s="3"/>
      <c r="J429" s="4"/>
      <c r="K429" s="4"/>
      <c r="L429" s="4"/>
      <c r="M429" s="4"/>
      <c r="N429" s="4"/>
      <c r="O429" s="4"/>
      <c r="P429" s="4"/>
      <c r="Q429" s="4"/>
      <c r="R429" s="4"/>
      <c r="S429" s="4"/>
      <c r="T429" s="4"/>
      <c r="U429" s="4"/>
      <c r="V429" s="4"/>
    </row>
    <row r="430" spans="1:22" ht="75">
      <c r="A430" s="11">
        <v>44522.542534722219</v>
      </c>
      <c r="B430" s="12" t="s">
        <v>24</v>
      </c>
      <c r="C430" s="12" t="s">
        <v>1172</v>
      </c>
      <c r="D430" s="12" t="s">
        <v>1173</v>
      </c>
      <c r="E430" s="17" t="s">
        <v>1174</v>
      </c>
      <c r="F430" s="17" t="s">
        <v>1175</v>
      </c>
      <c r="G430" s="15"/>
      <c r="H430" s="15"/>
      <c r="I430" s="3"/>
      <c r="J430" s="4"/>
      <c r="K430" s="4"/>
      <c r="L430" s="4"/>
      <c r="M430" s="4"/>
      <c r="N430" s="4"/>
      <c r="O430" s="4"/>
      <c r="P430" s="4"/>
      <c r="Q430" s="4"/>
      <c r="R430" s="4"/>
      <c r="S430" s="4"/>
      <c r="T430" s="4"/>
      <c r="U430" s="4"/>
      <c r="V430" s="4"/>
    </row>
    <row r="431" spans="1:22" ht="87.5">
      <c r="A431" s="11">
        <v>44522.542534722219</v>
      </c>
      <c r="B431" s="12" t="s">
        <v>24</v>
      </c>
      <c r="C431" s="12" t="s">
        <v>1176</v>
      </c>
      <c r="D431" s="12" t="s">
        <v>1177</v>
      </c>
      <c r="E431" s="17" t="s">
        <v>1178</v>
      </c>
      <c r="F431" s="15"/>
      <c r="G431" s="15"/>
      <c r="H431" s="15"/>
      <c r="I431" s="3"/>
      <c r="J431" s="4"/>
      <c r="K431" s="4"/>
      <c r="L431" s="4"/>
      <c r="M431" s="4"/>
      <c r="N431" s="4"/>
      <c r="O431" s="4"/>
      <c r="P431" s="4"/>
      <c r="Q431" s="4"/>
      <c r="R431" s="4"/>
      <c r="S431" s="4"/>
      <c r="T431" s="4"/>
      <c r="U431" s="4"/>
      <c r="V431" s="4"/>
    </row>
    <row r="432" spans="1:22" ht="112.5">
      <c r="A432" s="11">
        <v>44522.542523148149</v>
      </c>
      <c r="B432" s="12" t="s">
        <v>32</v>
      </c>
      <c r="C432" s="12" t="s">
        <v>1179</v>
      </c>
      <c r="D432" s="12" t="s">
        <v>1180</v>
      </c>
      <c r="E432" s="17" t="s">
        <v>1181</v>
      </c>
      <c r="F432" s="17" t="s">
        <v>1182</v>
      </c>
      <c r="G432" s="17" t="s">
        <v>1183</v>
      </c>
      <c r="H432" s="15"/>
      <c r="I432" s="3"/>
      <c r="J432" s="4"/>
      <c r="K432" s="4"/>
      <c r="L432" s="4"/>
      <c r="M432" s="4"/>
      <c r="N432" s="4"/>
      <c r="O432" s="4"/>
      <c r="P432" s="4"/>
      <c r="Q432" s="4"/>
      <c r="R432" s="4"/>
      <c r="S432" s="4"/>
      <c r="T432" s="4"/>
      <c r="U432" s="4"/>
      <c r="V432" s="4"/>
    </row>
    <row r="433" spans="1:22" ht="50">
      <c r="A433" s="11">
        <v>44522.542523148149</v>
      </c>
      <c r="B433" s="12" t="s">
        <v>32</v>
      </c>
      <c r="C433" s="12" t="s">
        <v>1184</v>
      </c>
      <c r="D433" s="12" t="s">
        <v>1185</v>
      </c>
      <c r="E433" s="17" t="s">
        <v>1186</v>
      </c>
      <c r="F433" s="17" t="s">
        <v>1187</v>
      </c>
      <c r="G433" s="15"/>
      <c r="H433" s="15"/>
      <c r="I433" s="3"/>
      <c r="J433" s="4"/>
      <c r="K433" s="4"/>
      <c r="L433" s="4"/>
      <c r="M433" s="4"/>
      <c r="N433" s="4"/>
      <c r="O433" s="4"/>
      <c r="P433" s="4"/>
      <c r="Q433" s="4"/>
      <c r="R433" s="4"/>
      <c r="S433" s="4"/>
      <c r="T433" s="4"/>
      <c r="U433" s="4"/>
      <c r="V433" s="4"/>
    </row>
    <row r="434" spans="1:22" ht="62.5">
      <c r="A434" s="11">
        <v>44522.542523148149</v>
      </c>
      <c r="B434" s="12" t="s">
        <v>32</v>
      </c>
      <c r="C434" s="12" t="s">
        <v>1188</v>
      </c>
      <c r="D434" s="12" t="s">
        <v>1189</v>
      </c>
      <c r="E434" s="17" t="s">
        <v>1190</v>
      </c>
      <c r="F434" s="15"/>
      <c r="G434" s="15"/>
      <c r="H434" s="15"/>
      <c r="I434" s="3"/>
      <c r="J434" s="4"/>
      <c r="K434" s="4"/>
      <c r="L434" s="4"/>
      <c r="M434" s="4"/>
      <c r="N434" s="4"/>
      <c r="O434" s="4"/>
      <c r="P434" s="4"/>
      <c r="Q434" s="4"/>
      <c r="R434" s="4"/>
      <c r="S434" s="4"/>
      <c r="T434" s="4"/>
      <c r="U434" s="4"/>
      <c r="V434" s="4"/>
    </row>
    <row r="435" spans="1:22" ht="62.5">
      <c r="A435" s="11">
        <v>44522.542523148149</v>
      </c>
      <c r="B435" s="12" t="s">
        <v>32</v>
      </c>
      <c r="C435" s="12" t="s">
        <v>1191</v>
      </c>
      <c r="D435" s="12" t="s">
        <v>1192</v>
      </c>
      <c r="E435" s="17" t="s">
        <v>1193</v>
      </c>
      <c r="F435" s="15"/>
      <c r="G435" s="15"/>
      <c r="H435" s="15"/>
      <c r="I435" s="3"/>
      <c r="J435" s="4"/>
      <c r="K435" s="4"/>
      <c r="L435" s="4"/>
      <c r="M435" s="4"/>
      <c r="N435" s="4"/>
      <c r="O435" s="4"/>
      <c r="P435" s="4"/>
      <c r="Q435" s="4"/>
      <c r="R435" s="4"/>
      <c r="S435" s="4"/>
      <c r="T435" s="4"/>
      <c r="U435" s="4"/>
      <c r="V435" s="4"/>
    </row>
    <row r="436" spans="1:22" ht="62.5">
      <c r="A436" s="11">
        <v>44492.321840277778</v>
      </c>
      <c r="B436" s="12" t="s">
        <v>24</v>
      </c>
      <c r="C436" s="12" t="s">
        <v>1194</v>
      </c>
      <c r="D436" s="12" t="s">
        <v>1195</v>
      </c>
      <c r="E436" s="17" t="s">
        <v>1196</v>
      </c>
      <c r="F436" s="17" t="s">
        <v>1197</v>
      </c>
      <c r="G436" s="15"/>
      <c r="H436" s="15"/>
      <c r="I436" s="3"/>
      <c r="J436" s="4"/>
      <c r="K436" s="4"/>
      <c r="L436" s="4"/>
      <c r="M436" s="4"/>
      <c r="N436" s="4"/>
      <c r="O436" s="4"/>
      <c r="P436" s="4"/>
      <c r="Q436" s="4"/>
      <c r="R436" s="4"/>
      <c r="S436" s="4"/>
      <c r="T436" s="4"/>
      <c r="U436" s="4"/>
      <c r="V436" s="4"/>
    </row>
    <row r="437" spans="1:22" ht="75">
      <c r="A437" s="11">
        <v>44492.321840277778</v>
      </c>
      <c r="B437" s="12" t="s">
        <v>24</v>
      </c>
      <c r="C437" s="12" t="s">
        <v>1198</v>
      </c>
      <c r="D437" s="12" t="s">
        <v>1199</v>
      </c>
      <c r="E437" s="17" t="s">
        <v>1200</v>
      </c>
      <c r="F437" s="15"/>
      <c r="G437" s="15"/>
      <c r="H437" s="15"/>
      <c r="I437" s="3"/>
      <c r="J437" s="4"/>
      <c r="K437" s="4"/>
      <c r="L437" s="4"/>
      <c r="M437" s="4"/>
      <c r="N437" s="4"/>
      <c r="O437" s="4"/>
      <c r="P437" s="4"/>
      <c r="Q437" s="4"/>
      <c r="R437" s="4"/>
      <c r="S437" s="4"/>
      <c r="T437" s="4"/>
      <c r="U437" s="4"/>
      <c r="V437" s="4"/>
    </row>
    <row r="438" spans="1:22" ht="75">
      <c r="A438" s="11">
        <v>44492.321840277778</v>
      </c>
      <c r="B438" s="12" t="s">
        <v>14</v>
      </c>
      <c r="C438" s="12" t="s">
        <v>1201</v>
      </c>
      <c r="D438" s="12" t="s">
        <v>1202</v>
      </c>
      <c r="E438" s="17" t="s">
        <v>1203</v>
      </c>
      <c r="F438" s="15"/>
      <c r="G438" s="15"/>
      <c r="H438" s="15"/>
      <c r="I438" s="3"/>
      <c r="J438" s="4"/>
      <c r="K438" s="4"/>
      <c r="L438" s="4"/>
      <c r="M438" s="4"/>
      <c r="N438" s="4"/>
      <c r="O438" s="4"/>
      <c r="P438" s="4"/>
      <c r="Q438" s="4"/>
      <c r="R438" s="4"/>
      <c r="S438" s="4"/>
      <c r="T438" s="4"/>
      <c r="U438" s="4"/>
      <c r="V438" s="4"/>
    </row>
    <row r="439" spans="1:22" ht="62.5">
      <c r="A439" s="11">
        <v>44492.321840277778</v>
      </c>
      <c r="B439" s="12" t="s">
        <v>14</v>
      </c>
      <c r="C439" s="12" t="s">
        <v>1204</v>
      </c>
      <c r="D439" s="12" t="s">
        <v>1205</v>
      </c>
      <c r="E439" s="17" t="s">
        <v>1206</v>
      </c>
      <c r="F439" s="15"/>
      <c r="G439" s="15"/>
      <c r="H439" s="15"/>
      <c r="I439" s="3"/>
      <c r="J439" s="4"/>
      <c r="K439" s="4"/>
      <c r="L439" s="4"/>
      <c r="M439" s="4"/>
      <c r="N439" s="4"/>
      <c r="O439" s="4"/>
      <c r="P439" s="4"/>
      <c r="Q439" s="4"/>
      <c r="R439" s="4"/>
      <c r="S439" s="4"/>
      <c r="T439" s="4"/>
      <c r="U439" s="4"/>
      <c r="V439" s="4"/>
    </row>
    <row r="440" spans="1:22" ht="75">
      <c r="A440" s="11">
        <v>44492.321840277778</v>
      </c>
      <c r="B440" s="12" t="s">
        <v>5</v>
      </c>
      <c r="C440" s="12" t="s">
        <v>1207</v>
      </c>
      <c r="D440" s="12" t="s">
        <v>1208</v>
      </c>
      <c r="E440" s="17" t="s">
        <v>1209</v>
      </c>
      <c r="F440" s="15"/>
      <c r="G440" s="15"/>
      <c r="H440" s="15"/>
      <c r="I440" s="3"/>
      <c r="J440" s="4"/>
      <c r="K440" s="4"/>
      <c r="L440" s="4"/>
      <c r="M440" s="4"/>
      <c r="N440" s="4"/>
      <c r="O440" s="4"/>
      <c r="P440" s="4"/>
      <c r="Q440" s="4"/>
      <c r="R440" s="4"/>
      <c r="S440" s="4"/>
      <c r="T440" s="4"/>
      <c r="U440" s="4"/>
      <c r="V440" s="4"/>
    </row>
    <row r="441" spans="1:22" ht="112.5">
      <c r="A441" s="11">
        <v>44492.321840277778</v>
      </c>
      <c r="B441" s="12" t="s">
        <v>5</v>
      </c>
      <c r="C441" s="12" t="s">
        <v>1210</v>
      </c>
      <c r="D441" s="12" t="s">
        <v>1211</v>
      </c>
      <c r="E441" s="17" t="s">
        <v>1212</v>
      </c>
      <c r="F441" s="15"/>
      <c r="G441" s="15"/>
      <c r="H441" s="15"/>
      <c r="I441" s="3"/>
      <c r="J441" s="4"/>
      <c r="K441" s="4"/>
      <c r="L441" s="4"/>
      <c r="M441" s="4"/>
      <c r="N441" s="4"/>
      <c r="O441" s="4"/>
      <c r="P441" s="4"/>
      <c r="Q441" s="4"/>
      <c r="R441" s="4"/>
      <c r="S441" s="4"/>
      <c r="T441" s="4"/>
      <c r="U441" s="4"/>
      <c r="V441" s="4"/>
    </row>
    <row r="442" spans="1:22" ht="75">
      <c r="A442" s="11">
        <v>44492.321840277778</v>
      </c>
      <c r="B442" s="12" t="s">
        <v>5</v>
      </c>
      <c r="C442" s="12" t="s">
        <v>1213</v>
      </c>
      <c r="D442" s="12" t="s">
        <v>1214</v>
      </c>
      <c r="E442" s="17" t="s">
        <v>1215</v>
      </c>
      <c r="F442" s="15"/>
      <c r="G442" s="15"/>
      <c r="H442" s="15"/>
      <c r="I442" s="3"/>
      <c r="J442" s="4"/>
      <c r="K442" s="4"/>
      <c r="L442" s="4"/>
      <c r="M442" s="4"/>
      <c r="N442" s="4"/>
      <c r="O442" s="4"/>
      <c r="P442" s="4"/>
      <c r="Q442" s="4"/>
      <c r="R442" s="4"/>
      <c r="S442" s="4"/>
      <c r="T442" s="4"/>
      <c r="U442" s="4"/>
      <c r="V442" s="4"/>
    </row>
    <row r="443" spans="1:22" ht="62.5">
      <c r="A443" s="11">
        <v>44492.321840277778</v>
      </c>
      <c r="B443" s="12" t="s">
        <v>5</v>
      </c>
      <c r="C443" s="12" t="s">
        <v>1216</v>
      </c>
      <c r="D443" s="12" t="s">
        <v>1217</v>
      </c>
      <c r="E443" s="17" t="s">
        <v>1218</v>
      </c>
      <c r="F443" s="15"/>
      <c r="G443" s="15"/>
      <c r="H443" s="15"/>
      <c r="I443" s="3"/>
      <c r="J443" s="4"/>
      <c r="K443" s="4"/>
      <c r="L443" s="4"/>
      <c r="M443" s="4"/>
      <c r="N443" s="4"/>
      <c r="O443" s="4"/>
      <c r="P443" s="4"/>
      <c r="Q443" s="4"/>
      <c r="R443" s="4"/>
      <c r="S443" s="4"/>
      <c r="T443" s="4"/>
      <c r="U443" s="4"/>
      <c r="V443" s="4"/>
    </row>
    <row r="444" spans="1:22" ht="75">
      <c r="A444" s="11">
        <v>44492.321828703702</v>
      </c>
      <c r="B444" s="12" t="s">
        <v>32</v>
      </c>
      <c r="C444" s="12" t="s">
        <v>1219</v>
      </c>
      <c r="D444" s="12" t="s">
        <v>1220</v>
      </c>
      <c r="E444" s="17" t="s">
        <v>1221</v>
      </c>
      <c r="F444" s="17" t="s">
        <v>1222</v>
      </c>
      <c r="G444" s="15"/>
      <c r="H444" s="15"/>
      <c r="I444" s="3"/>
      <c r="J444" s="4"/>
      <c r="K444" s="4"/>
      <c r="L444" s="4"/>
      <c r="M444" s="4"/>
      <c r="N444" s="4"/>
      <c r="O444" s="4"/>
      <c r="P444" s="4"/>
      <c r="Q444" s="4"/>
      <c r="R444" s="4"/>
      <c r="S444" s="4"/>
      <c r="T444" s="4"/>
      <c r="U444" s="4"/>
      <c r="V444" s="4"/>
    </row>
    <row r="445" spans="1:22" ht="75">
      <c r="A445" s="11">
        <v>44492.321828703702</v>
      </c>
      <c r="B445" s="12" t="s">
        <v>32</v>
      </c>
      <c r="C445" s="12" t="s">
        <v>1223</v>
      </c>
      <c r="D445" s="12" t="s">
        <v>1224</v>
      </c>
      <c r="E445" s="17" t="s">
        <v>1225</v>
      </c>
      <c r="F445" s="15"/>
      <c r="G445" s="15"/>
      <c r="H445" s="15"/>
      <c r="I445" s="3"/>
      <c r="J445" s="4"/>
      <c r="K445" s="4"/>
      <c r="L445" s="4"/>
      <c r="M445" s="4"/>
      <c r="N445" s="4"/>
      <c r="O445" s="4"/>
      <c r="P445" s="4"/>
      <c r="Q445" s="4"/>
      <c r="R445" s="4"/>
      <c r="S445" s="4"/>
      <c r="T445" s="4"/>
      <c r="U445" s="4"/>
      <c r="V445" s="4"/>
    </row>
    <row r="446" spans="1:22" ht="87.5">
      <c r="A446" s="11">
        <v>44492.321828703702</v>
      </c>
      <c r="B446" s="12" t="s">
        <v>32</v>
      </c>
      <c r="C446" s="12" t="s">
        <v>1226</v>
      </c>
      <c r="D446" s="12" t="s">
        <v>1227</v>
      </c>
      <c r="E446" s="17" t="s">
        <v>1228</v>
      </c>
      <c r="F446" s="15"/>
      <c r="G446" s="15"/>
      <c r="H446" s="15"/>
      <c r="I446" s="3"/>
      <c r="J446" s="4"/>
      <c r="K446" s="4"/>
      <c r="L446" s="4"/>
      <c r="M446" s="4"/>
      <c r="N446" s="4"/>
      <c r="O446" s="4"/>
      <c r="P446" s="4"/>
      <c r="Q446" s="4"/>
      <c r="R446" s="4"/>
      <c r="S446" s="4"/>
      <c r="T446" s="4"/>
      <c r="U446" s="4"/>
      <c r="V446" s="4"/>
    </row>
    <row r="447" spans="1:22" ht="62.5">
      <c r="A447" s="11">
        <v>44492.321828703702</v>
      </c>
      <c r="B447" s="12" t="s">
        <v>29</v>
      </c>
      <c r="C447" s="12" t="s">
        <v>1229</v>
      </c>
      <c r="D447" s="12" t="s">
        <v>1230</v>
      </c>
      <c r="E447" s="17" t="s">
        <v>1231</v>
      </c>
      <c r="F447" s="15"/>
      <c r="G447" s="15"/>
      <c r="H447" s="15"/>
      <c r="I447" s="3"/>
      <c r="J447" s="4"/>
      <c r="K447" s="4"/>
      <c r="L447" s="4"/>
      <c r="M447" s="4"/>
      <c r="N447" s="4"/>
      <c r="O447" s="4"/>
      <c r="P447" s="4"/>
      <c r="Q447" s="4"/>
      <c r="R447" s="4"/>
      <c r="S447" s="4"/>
      <c r="T447" s="4"/>
      <c r="U447" s="4"/>
      <c r="V447" s="4"/>
    </row>
    <row r="448" spans="1:22" ht="75">
      <c r="A448" s="11">
        <v>44492.321828703702</v>
      </c>
      <c r="B448" s="12" t="s">
        <v>29</v>
      </c>
      <c r="C448" s="12" t="s">
        <v>1232</v>
      </c>
      <c r="D448" s="12" t="s">
        <v>1233</v>
      </c>
      <c r="E448" s="17" t="s">
        <v>1234</v>
      </c>
      <c r="F448" s="15"/>
      <c r="G448" s="15"/>
      <c r="H448" s="15"/>
      <c r="I448" s="3"/>
      <c r="J448" s="4"/>
      <c r="K448" s="4"/>
      <c r="L448" s="4"/>
      <c r="M448" s="4"/>
      <c r="N448" s="4"/>
      <c r="O448" s="4"/>
      <c r="P448" s="4"/>
      <c r="Q448" s="4"/>
      <c r="R448" s="4"/>
      <c r="S448" s="4"/>
      <c r="T448" s="4"/>
      <c r="U448" s="4"/>
      <c r="V448" s="4"/>
    </row>
    <row r="449" spans="1:22" ht="87.5">
      <c r="A449" s="11">
        <v>44492.321828703702</v>
      </c>
      <c r="B449" s="12" t="s">
        <v>29</v>
      </c>
      <c r="C449" s="12" t="s">
        <v>1235</v>
      </c>
      <c r="D449" s="12" t="s">
        <v>1236</v>
      </c>
      <c r="E449" s="17" t="s">
        <v>1237</v>
      </c>
      <c r="F449" s="15"/>
      <c r="G449" s="15"/>
      <c r="H449" s="15"/>
      <c r="I449" s="3"/>
      <c r="J449" s="4"/>
      <c r="K449" s="4"/>
      <c r="L449" s="4"/>
      <c r="M449" s="4"/>
      <c r="N449" s="4"/>
      <c r="O449" s="4"/>
      <c r="P449" s="4"/>
      <c r="Q449" s="4"/>
      <c r="R449" s="4"/>
      <c r="S449" s="4"/>
      <c r="T449" s="4"/>
      <c r="U449" s="4"/>
      <c r="V449" s="4"/>
    </row>
    <row r="450" spans="1:22" ht="75">
      <c r="A450" s="11">
        <v>44492.321828703702</v>
      </c>
      <c r="B450" s="12" t="s">
        <v>24</v>
      </c>
      <c r="C450" s="12" t="s">
        <v>1238</v>
      </c>
      <c r="D450" s="12" t="s">
        <v>1239</v>
      </c>
      <c r="E450" s="17" t="s">
        <v>1240</v>
      </c>
      <c r="F450" s="15"/>
      <c r="G450" s="15"/>
      <c r="H450" s="15"/>
      <c r="I450" s="3"/>
      <c r="J450" s="4"/>
      <c r="K450" s="4"/>
      <c r="L450" s="4"/>
      <c r="M450" s="4"/>
      <c r="N450" s="4"/>
      <c r="O450" s="4"/>
      <c r="P450" s="4"/>
      <c r="Q450" s="4"/>
      <c r="R450" s="4"/>
      <c r="S450" s="4"/>
      <c r="T450" s="4"/>
      <c r="U450" s="4"/>
      <c r="V450" s="4"/>
    </row>
    <row r="451" spans="1:22" ht="75">
      <c r="A451" s="11">
        <v>44492.321817129632</v>
      </c>
      <c r="B451" s="12" t="s">
        <v>32</v>
      </c>
      <c r="C451" s="12" t="s">
        <v>1241</v>
      </c>
      <c r="D451" s="12" t="s">
        <v>1242</v>
      </c>
      <c r="E451" s="17" t="s">
        <v>1243</v>
      </c>
      <c r="F451" s="17" t="s">
        <v>1244</v>
      </c>
      <c r="G451" s="15"/>
      <c r="H451" s="15"/>
      <c r="I451" s="3"/>
      <c r="J451" s="4"/>
      <c r="K451" s="4"/>
      <c r="L451" s="4"/>
      <c r="M451" s="4"/>
      <c r="N451" s="4"/>
      <c r="O451" s="4"/>
      <c r="P451" s="4"/>
      <c r="Q451" s="4"/>
      <c r="R451" s="4"/>
      <c r="S451" s="4"/>
      <c r="T451" s="4"/>
      <c r="U451" s="4"/>
      <c r="V451" s="4"/>
    </row>
    <row r="452" spans="1:22" ht="62.5">
      <c r="A452" s="11">
        <v>44492.321817129632</v>
      </c>
      <c r="B452" s="12" t="s">
        <v>32</v>
      </c>
      <c r="C452" s="12" t="s">
        <v>1245</v>
      </c>
      <c r="D452" s="12" t="s">
        <v>1246</v>
      </c>
      <c r="E452" s="17" t="s">
        <v>1247</v>
      </c>
      <c r="F452" s="15"/>
      <c r="G452" s="15"/>
      <c r="H452" s="15"/>
      <c r="I452" s="3"/>
      <c r="J452" s="4"/>
      <c r="K452" s="4"/>
      <c r="L452" s="4"/>
      <c r="M452" s="4"/>
      <c r="N452" s="4"/>
      <c r="O452" s="4"/>
      <c r="P452" s="4"/>
      <c r="Q452" s="4"/>
      <c r="R452" s="4"/>
      <c r="S452" s="4"/>
      <c r="T452" s="4"/>
      <c r="U452" s="4"/>
      <c r="V452" s="4"/>
    </row>
    <row r="453" spans="1:22" ht="75">
      <c r="A453" s="11">
        <v>44467.273194444446</v>
      </c>
      <c r="B453" s="12" t="s">
        <v>14</v>
      </c>
      <c r="C453" s="12" t="s">
        <v>1248</v>
      </c>
      <c r="D453" s="12" t="s">
        <v>1249</v>
      </c>
      <c r="E453" s="17" t="s">
        <v>1250</v>
      </c>
      <c r="F453" s="15"/>
      <c r="G453" s="15"/>
      <c r="H453" s="15"/>
      <c r="I453" s="3"/>
      <c r="J453" s="4"/>
      <c r="K453" s="4"/>
      <c r="L453" s="4"/>
      <c r="M453" s="4"/>
      <c r="N453" s="4"/>
      <c r="O453" s="4"/>
      <c r="P453" s="4"/>
      <c r="Q453" s="4"/>
      <c r="R453" s="4"/>
      <c r="S453" s="4"/>
      <c r="T453" s="4"/>
      <c r="U453" s="4"/>
      <c r="V453" s="4"/>
    </row>
    <row r="454" spans="1:22" ht="87.5">
      <c r="A454" s="11">
        <v>44467.273194444446</v>
      </c>
      <c r="B454" s="12" t="s">
        <v>24</v>
      </c>
      <c r="C454" s="12" t="s">
        <v>1251</v>
      </c>
      <c r="D454" s="12" t="s">
        <v>1252</v>
      </c>
      <c r="E454" s="17" t="s">
        <v>1253</v>
      </c>
      <c r="F454" s="17" t="s">
        <v>1254</v>
      </c>
      <c r="G454" s="15"/>
      <c r="H454" s="15"/>
      <c r="I454" s="3"/>
      <c r="J454" s="4"/>
      <c r="K454" s="4"/>
      <c r="L454" s="4"/>
      <c r="M454" s="4"/>
      <c r="N454" s="4"/>
      <c r="O454" s="4"/>
      <c r="P454" s="4"/>
      <c r="Q454" s="4"/>
      <c r="R454" s="4"/>
      <c r="S454" s="4"/>
      <c r="T454" s="4"/>
      <c r="U454" s="4"/>
      <c r="V454" s="4"/>
    </row>
    <row r="455" spans="1:22" ht="75">
      <c r="A455" s="11">
        <v>44467.273194444446</v>
      </c>
      <c r="B455" s="12" t="s">
        <v>5</v>
      </c>
      <c r="C455" s="12" t="s">
        <v>1255</v>
      </c>
      <c r="D455" s="12" t="s">
        <v>1256</v>
      </c>
      <c r="E455" s="17" t="s">
        <v>1257</v>
      </c>
      <c r="F455" s="15"/>
      <c r="G455" s="15"/>
      <c r="H455" s="15"/>
      <c r="I455" s="3"/>
      <c r="J455" s="4"/>
      <c r="K455" s="4"/>
      <c r="L455" s="4"/>
      <c r="M455" s="4"/>
      <c r="N455" s="4"/>
      <c r="O455" s="4"/>
      <c r="P455" s="4"/>
      <c r="Q455" s="4"/>
      <c r="R455" s="4"/>
      <c r="S455" s="4"/>
      <c r="T455" s="4"/>
      <c r="U455" s="4"/>
      <c r="V455" s="4"/>
    </row>
    <row r="456" spans="1:22" ht="75">
      <c r="A456" s="11">
        <v>44467.273194444446</v>
      </c>
      <c r="B456" s="12" t="s">
        <v>5</v>
      </c>
      <c r="C456" s="12" t="s">
        <v>1258</v>
      </c>
      <c r="D456" s="12" t="s">
        <v>1259</v>
      </c>
      <c r="E456" s="15" t="s">
        <v>1260</v>
      </c>
      <c r="F456" s="15"/>
      <c r="G456" s="15"/>
      <c r="H456" s="15"/>
      <c r="I456" s="3"/>
      <c r="J456" s="4"/>
      <c r="K456" s="4"/>
      <c r="L456" s="4"/>
      <c r="M456" s="4"/>
      <c r="N456" s="4"/>
      <c r="O456" s="4"/>
      <c r="P456" s="4"/>
      <c r="Q456" s="4"/>
      <c r="R456" s="4"/>
      <c r="S456" s="4"/>
      <c r="T456" s="4"/>
      <c r="U456" s="4"/>
      <c r="V456" s="4"/>
    </row>
    <row r="457" spans="1:22" ht="100">
      <c r="A457" s="11">
        <v>44467.273194444446</v>
      </c>
      <c r="B457" s="12" t="s">
        <v>5</v>
      </c>
      <c r="C457" s="12" t="s">
        <v>1261</v>
      </c>
      <c r="D457" s="12" t="s">
        <v>1262</v>
      </c>
      <c r="E457" s="17" t="s">
        <v>1263</v>
      </c>
      <c r="F457" s="17" t="s">
        <v>1264</v>
      </c>
      <c r="G457" s="17" t="s">
        <v>1265</v>
      </c>
      <c r="H457" s="15"/>
      <c r="I457" s="3"/>
      <c r="J457" s="4"/>
      <c r="K457" s="4"/>
      <c r="L457" s="4"/>
      <c r="M457" s="4"/>
      <c r="N457" s="4"/>
      <c r="O457" s="4"/>
      <c r="P457" s="4"/>
      <c r="Q457" s="4"/>
      <c r="R457" s="4"/>
      <c r="S457" s="4"/>
      <c r="T457" s="4"/>
      <c r="U457" s="4"/>
      <c r="V457" s="4"/>
    </row>
    <row r="458" spans="1:22" ht="100">
      <c r="A458" s="11">
        <v>44467.273182870369</v>
      </c>
      <c r="B458" s="12" t="s">
        <v>32</v>
      </c>
      <c r="C458" s="12" t="s">
        <v>1266</v>
      </c>
      <c r="D458" s="12" t="s">
        <v>1267</v>
      </c>
      <c r="E458" s="17" t="s">
        <v>1268</v>
      </c>
      <c r="F458" s="17" t="s">
        <v>1269</v>
      </c>
      <c r="G458" s="15"/>
      <c r="H458" s="15"/>
      <c r="I458" s="3"/>
      <c r="J458" s="4"/>
      <c r="K458" s="4"/>
      <c r="L458" s="4"/>
      <c r="M458" s="4"/>
      <c r="N458" s="4"/>
      <c r="O458" s="4"/>
      <c r="P458" s="4"/>
      <c r="Q458" s="4"/>
      <c r="R458" s="4"/>
      <c r="S458" s="4"/>
      <c r="T458" s="4"/>
      <c r="U458" s="4"/>
      <c r="V458" s="4"/>
    </row>
    <row r="459" spans="1:22" ht="75">
      <c r="A459" s="11">
        <v>44467.273182870369</v>
      </c>
      <c r="B459" s="12" t="s">
        <v>32</v>
      </c>
      <c r="C459" s="12" t="s">
        <v>1270</v>
      </c>
      <c r="D459" s="12" t="s">
        <v>1271</v>
      </c>
      <c r="E459" s="17" t="s">
        <v>1272</v>
      </c>
      <c r="F459" s="15"/>
      <c r="G459" s="15"/>
      <c r="H459" s="15"/>
      <c r="I459" s="3"/>
      <c r="J459" s="4"/>
      <c r="K459" s="4"/>
      <c r="L459" s="4"/>
      <c r="M459" s="4"/>
      <c r="N459" s="4"/>
      <c r="O459" s="4"/>
      <c r="P459" s="4"/>
      <c r="Q459" s="4"/>
      <c r="R459" s="4"/>
      <c r="S459" s="4"/>
      <c r="T459" s="4"/>
      <c r="U459" s="4"/>
      <c r="V459" s="4"/>
    </row>
    <row r="460" spans="1:22" ht="75">
      <c r="A460" s="11">
        <v>44467.273182870369</v>
      </c>
      <c r="B460" s="12" t="s">
        <v>29</v>
      </c>
      <c r="C460" s="12" t="s">
        <v>1273</v>
      </c>
      <c r="D460" s="12" t="s">
        <v>1274</v>
      </c>
      <c r="E460" s="17" t="s">
        <v>1275</v>
      </c>
      <c r="F460" s="15"/>
      <c r="G460" s="15"/>
      <c r="H460" s="15"/>
      <c r="I460" s="3"/>
      <c r="J460" s="4"/>
      <c r="K460" s="4"/>
      <c r="L460" s="4"/>
      <c r="M460" s="4"/>
      <c r="N460" s="4"/>
      <c r="O460" s="4"/>
      <c r="P460" s="4"/>
      <c r="Q460" s="4"/>
      <c r="R460" s="4"/>
      <c r="S460" s="4"/>
      <c r="T460" s="4"/>
      <c r="U460" s="4"/>
      <c r="V460" s="4"/>
    </row>
    <row r="461" spans="1:22" ht="62.5">
      <c r="A461" s="11">
        <v>44467.273182870369</v>
      </c>
      <c r="B461" s="12" t="s">
        <v>29</v>
      </c>
      <c r="C461" s="12" t="s">
        <v>1276</v>
      </c>
      <c r="D461" s="12" t="s">
        <v>1277</v>
      </c>
      <c r="E461" s="17" t="s">
        <v>1278</v>
      </c>
      <c r="F461" s="15"/>
      <c r="G461" s="15"/>
      <c r="H461" s="15"/>
      <c r="I461" s="3"/>
      <c r="J461" s="4"/>
      <c r="K461" s="4"/>
      <c r="L461" s="4"/>
      <c r="M461" s="4"/>
      <c r="N461" s="4"/>
      <c r="O461" s="4"/>
      <c r="P461" s="4"/>
      <c r="Q461" s="4"/>
      <c r="R461" s="4"/>
      <c r="S461" s="4"/>
      <c r="T461" s="4"/>
      <c r="U461" s="4"/>
      <c r="V461" s="4"/>
    </row>
    <row r="462" spans="1:22" ht="87.5">
      <c r="A462" s="11">
        <v>44467.273182870369</v>
      </c>
      <c r="B462" s="12" t="s">
        <v>24</v>
      </c>
      <c r="C462" s="12" t="s">
        <v>1279</v>
      </c>
      <c r="D462" s="12" t="s">
        <v>1280</v>
      </c>
      <c r="E462" s="17" t="s">
        <v>1281</v>
      </c>
      <c r="F462" s="15"/>
      <c r="G462" s="15"/>
      <c r="H462" s="15"/>
      <c r="I462" s="3"/>
      <c r="J462" s="4"/>
      <c r="K462" s="4"/>
      <c r="L462" s="4"/>
      <c r="M462" s="4"/>
      <c r="N462" s="4"/>
      <c r="O462" s="4"/>
      <c r="P462" s="4"/>
      <c r="Q462" s="4"/>
      <c r="R462" s="4"/>
      <c r="S462" s="4"/>
      <c r="T462" s="4"/>
      <c r="U462" s="4"/>
      <c r="V462" s="4"/>
    </row>
    <row r="463" spans="1:22" ht="62.5">
      <c r="A463" s="11">
        <v>44467.273182870369</v>
      </c>
      <c r="B463" s="12" t="s">
        <v>14</v>
      </c>
      <c r="C463" s="12" t="s">
        <v>1282</v>
      </c>
      <c r="D463" s="12" t="s">
        <v>1283</v>
      </c>
      <c r="E463" s="17" t="s">
        <v>1284</v>
      </c>
      <c r="F463" s="15"/>
      <c r="G463" s="15"/>
      <c r="H463" s="15"/>
      <c r="I463" s="3"/>
      <c r="J463" s="4"/>
      <c r="K463" s="4"/>
      <c r="L463" s="4"/>
      <c r="M463" s="4"/>
      <c r="N463" s="4"/>
      <c r="O463" s="4"/>
      <c r="P463" s="4"/>
      <c r="Q463" s="4"/>
      <c r="R463" s="4"/>
      <c r="S463" s="4"/>
      <c r="T463" s="4"/>
      <c r="U463" s="4"/>
      <c r="V463" s="4"/>
    </row>
    <row r="464" spans="1:22" ht="75">
      <c r="A464" s="11">
        <v>44467.273182870369</v>
      </c>
      <c r="B464" s="12" t="s">
        <v>14</v>
      </c>
      <c r="C464" s="12" t="s">
        <v>1285</v>
      </c>
      <c r="D464" s="12" t="s">
        <v>1286</v>
      </c>
      <c r="E464" s="17" t="s">
        <v>1287</v>
      </c>
      <c r="F464" s="17" t="s">
        <v>1288</v>
      </c>
      <c r="G464" s="15"/>
      <c r="H464" s="15"/>
      <c r="I464" s="3"/>
      <c r="J464" s="4"/>
      <c r="K464" s="4"/>
      <c r="L464" s="4"/>
      <c r="M464" s="4"/>
      <c r="N464" s="4"/>
      <c r="O464" s="4"/>
      <c r="P464" s="4"/>
      <c r="Q464" s="4"/>
      <c r="R464" s="4"/>
      <c r="S464" s="4"/>
      <c r="T464" s="4"/>
      <c r="U464" s="4"/>
      <c r="V464" s="4"/>
    </row>
    <row r="465" spans="1:22" ht="87.5">
      <c r="A465" s="11">
        <v>44467.273182870369</v>
      </c>
      <c r="B465" s="12" t="s">
        <v>14</v>
      </c>
      <c r="C465" s="12" t="s">
        <v>1289</v>
      </c>
      <c r="D465" s="12" t="s">
        <v>1290</v>
      </c>
      <c r="E465" s="17" t="s">
        <v>1291</v>
      </c>
      <c r="F465" s="15"/>
      <c r="G465" s="15"/>
      <c r="H465" s="15"/>
      <c r="I465" s="3"/>
      <c r="J465" s="4"/>
      <c r="K465" s="4"/>
      <c r="L465" s="4"/>
      <c r="M465" s="4"/>
      <c r="N465" s="4"/>
      <c r="O465" s="4"/>
      <c r="P465" s="4"/>
      <c r="Q465" s="4"/>
      <c r="R465" s="4"/>
      <c r="S465" s="4"/>
      <c r="T465" s="4"/>
      <c r="U465" s="4"/>
      <c r="V465" s="4"/>
    </row>
    <row r="466" spans="1:22" ht="62.5">
      <c r="A466" s="11">
        <v>44467.2731712963</v>
      </c>
      <c r="B466" s="12" t="s">
        <v>5</v>
      </c>
      <c r="C466" s="12" t="s">
        <v>1292</v>
      </c>
      <c r="D466" s="12" t="s">
        <v>1293</v>
      </c>
      <c r="E466" s="17" t="s">
        <v>1294</v>
      </c>
      <c r="F466" s="17" t="s">
        <v>1295</v>
      </c>
      <c r="G466" s="15"/>
      <c r="H466" s="15"/>
      <c r="I466" s="3"/>
      <c r="J466" s="4"/>
      <c r="K466" s="4"/>
      <c r="L466" s="4"/>
      <c r="M466" s="4"/>
      <c r="N466" s="4"/>
      <c r="O466" s="4"/>
      <c r="P466" s="4"/>
      <c r="Q466" s="4"/>
      <c r="R466" s="4"/>
      <c r="S466" s="4"/>
      <c r="T466" s="4"/>
      <c r="U466" s="4"/>
      <c r="V466" s="4"/>
    </row>
    <row r="467" spans="1:22" ht="62.5">
      <c r="A467" s="11">
        <v>44467.2731712963</v>
      </c>
      <c r="B467" s="12" t="s">
        <v>32</v>
      </c>
      <c r="C467" s="12" t="s">
        <v>1296</v>
      </c>
      <c r="D467" s="12" t="s">
        <v>1297</v>
      </c>
      <c r="E467" s="17" t="s">
        <v>1298</v>
      </c>
      <c r="F467" s="15"/>
      <c r="G467" s="15"/>
      <c r="H467" s="15"/>
      <c r="I467" s="3"/>
      <c r="J467" s="4"/>
      <c r="K467" s="4"/>
      <c r="L467" s="4"/>
      <c r="M467" s="4"/>
      <c r="N467" s="4"/>
      <c r="O467" s="4"/>
      <c r="P467" s="4"/>
      <c r="Q467" s="4"/>
      <c r="R467" s="4"/>
      <c r="S467" s="4"/>
      <c r="T467" s="4"/>
      <c r="U467" s="4"/>
      <c r="V467" s="4"/>
    </row>
    <row r="468" spans="1:22" ht="62.5">
      <c r="A468" s="11">
        <v>44467.2731712963</v>
      </c>
      <c r="B468" s="12" t="s">
        <v>24</v>
      </c>
      <c r="C468" s="12" t="s">
        <v>1299</v>
      </c>
      <c r="D468" s="12" t="s">
        <v>1300</v>
      </c>
      <c r="E468" s="17" t="s">
        <v>1301</v>
      </c>
      <c r="F468" s="17" t="s">
        <v>1302</v>
      </c>
      <c r="G468" s="15"/>
      <c r="H468" s="15"/>
      <c r="I468" s="3"/>
      <c r="J468" s="4"/>
      <c r="K468" s="4"/>
      <c r="L468" s="4"/>
      <c r="M468" s="4"/>
      <c r="N468" s="4"/>
      <c r="O468" s="4"/>
      <c r="P468" s="4"/>
      <c r="Q468" s="4"/>
      <c r="R468" s="4"/>
      <c r="S468" s="4"/>
      <c r="T468" s="4"/>
      <c r="U468" s="4"/>
      <c r="V468" s="4"/>
    </row>
    <row r="469" spans="1:22" ht="50">
      <c r="A469" s="11">
        <v>44467.2731712963</v>
      </c>
      <c r="B469" s="12" t="s">
        <v>32</v>
      </c>
      <c r="C469" s="12" t="s">
        <v>1303</v>
      </c>
      <c r="D469" s="12" t="s">
        <v>1304</v>
      </c>
      <c r="E469" s="17" t="s">
        <v>1305</v>
      </c>
      <c r="F469" s="15"/>
      <c r="G469" s="15"/>
      <c r="H469" s="15"/>
      <c r="I469" s="3"/>
      <c r="J469" s="4"/>
      <c r="K469" s="4"/>
      <c r="L469" s="4"/>
      <c r="M469" s="4"/>
      <c r="N469" s="4"/>
      <c r="O469" s="4"/>
      <c r="P469" s="4"/>
      <c r="Q469" s="4"/>
      <c r="R469" s="4"/>
      <c r="S469" s="4"/>
      <c r="T469" s="4"/>
      <c r="U469" s="4"/>
      <c r="V469" s="4"/>
    </row>
    <row r="470" spans="1:22" ht="100">
      <c r="A470" s="11">
        <v>44434.240289351852</v>
      </c>
      <c r="B470" s="12" t="s">
        <v>14</v>
      </c>
      <c r="C470" s="12" t="s">
        <v>1306</v>
      </c>
      <c r="D470" s="12" t="s">
        <v>1307</v>
      </c>
      <c r="E470" s="17" t="s">
        <v>1308</v>
      </c>
      <c r="F470" s="17" t="s">
        <v>1309</v>
      </c>
      <c r="G470" s="15" t="s">
        <v>1310</v>
      </c>
      <c r="H470" s="17" t="s">
        <v>1311</v>
      </c>
      <c r="I470" s="5" t="s">
        <v>1312</v>
      </c>
      <c r="J470" s="4"/>
      <c r="K470" s="4"/>
      <c r="L470" s="4"/>
      <c r="M470" s="4"/>
      <c r="N470" s="4"/>
      <c r="O470" s="4"/>
      <c r="P470" s="4"/>
      <c r="Q470" s="4"/>
      <c r="R470" s="4"/>
      <c r="S470" s="4"/>
      <c r="T470" s="4"/>
      <c r="U470" s="4"/>
      <c r="V470" s="4"/>
    </row>
    <row r="471" spans="1:22" ht="75">
      <c r="A471" s="11">
        <v>44434.240289351852</v>
      </c>
      <c r="B471" s="12" t="s">
        <v>5</v>
      </c>
      <c r="C471" s="12" t="s">
        <v>1313</v>
      </c>
      <c r="D471" s="12" t="s">
        <v>1314</v>
      </c>
      <c r="E471" s="17" t="s">
        <v>1315</v>
      </c>
      <c r="F471" s="17" t="s">
        <v>1316</v>
      </c>
      <c r="G471" s="15"/>
      <c r="H471" s="15"/>
      <c r="I471" s="3"/>
      <c r="J471" s="4"/>
      <c r="K471" s="4"/>
      <c r="L471" s="4"/>
      <c r="M471" s="4"/>
      <c r="N471" s="4"/>
      <c r="O471" s="4"/>
      <c r="P471" s="4"/>
      <c r="Q471" s="4"/>
      <c r="R471" s="4"/>
      <c r="S471" s="4"/>
      <c r="T471" s="4"/>
      <c r="U471" s="4"/>
      <c r="V471" s="4"/>
    </row>
    <row r="472" spans="1:22" ht="100">
      <c r="A472" s="11">
        <v>44434.240277777775</v>
      </c>
      <c r="B472" s="12" t="s">
        <v>29</v>
      </c>
      <c r="C472" s="12" t="s">
        <v>1317</v>
      </c>
      <c r="D472" s="12" t="s">
        <v>1318</v>
      </c>
      <c r="E472" s="17" t="s">
        <v>1319</v>
      </c>
      <c r="F472" s="15"/>
      <c r="G472" s="15"/>
      <c r="H472" s="15"/>
      <c r="I472" s="3"/>
      <c r="J472" s="4"/>
      <c r="K472" s="4"/>
      <c r="L472" s="4"/>
      <c r="M472" s="4"/>
      <c r="N472" s="4"/>
      <c r="O472" s="4"/>
      <c r="P472" s="4"/>
      <c r="Q472" s="4"/>
      <c r="R472" s="4"/>
      <c r="S472" s="4"/>
      <c r="T472" s="4"/>
      <c r="U472" s="4"/>
      <c r="V472" s="4"/>
    </row>
    <row r="473" spans="1:22" ht="112.5">
      <c r="A473" s="11">
        <v>44434.240277777775</v>
      </c>
      <c r="B473" s="12" t="s">
        <v>24</v>
      </c>
      <c r="C473" s="12" t="s">
        <v>1320</v>
      </c>
      <c r="D473" s="12" t="s">
        <v>1321</v>
      </c>
      <c r="E473" s="17" t="s">
        <v>1322</v>
      </c>
      <c r="F473" s="17" t="s">
        <v>1323</v>
      </c>
      <c r="G473" s="15"/>
      <c r="H473" s="15"/>
      <c r="I473" s="3"/>
      <c r="J473" s="4"/>
      <c r="K473" s="4"/>
      <c r="L473" s="4"/>
      <c r="M473" s="4"/>
      <c r="N473" s="4"/>
      <c r="O473" s="4"/>
      <c r="P473" s="4"/>
      <c r="Q473" s="4"/>
      <c r="R473" s="4"/>
      <c r="S473" s="4"/>
      <c r="T473" s="4"/>
      <c r="U473" s="4"/>
      <c r="V473" s="4"/>
    </row>
    <row r="474" spans="1:22" ht="125">
      <c r="A474" s="11">
        <v>44434.240277777775</v>
      </c>
      <c r="B474" s="12" t="s">
        <v>14</v>
      </c>
      <c r="C474" s="12" t="s">
        <v>1324</v>
      </c>
      <c r="D474" s="12" t="s">
        <v>1325</v>
      </c>
      <c r="E474" s="17" t="s">
        <v>1326</v>
      </c>
      <c r="F474" s="17" t="s">
        <v>1327</v>
      </c>
      <c r="G474" s="15"/>
      <c r="H474" s="15"/>
      <c r="I474" s="3"/>
      <c r="J474" s="4"/>
      <c r="K474" s="4"/>
      <c r="L474" s="4"/>
      <c r="M474" s="4"/>
      <c r="N474" s="4"/>
      <c r="O474" s="4"/>
      <c r="P474" s="4"/>
      <c r="Q474" s="4"/>
      <c r="R474" s="4"/>
      <c r="S474" s="4"/>
      <c r="T474" s="4"/>
      <c r="U474" s="4"/>
      <c r="V474" s="4"/>
    </row>
    <row r="475" spans="1:22" ht="125">
      <c r="A475" s="11">
        <v>44434.240277777775</v>
      </c>
      <c r="B475" s="12" t="s">
        <v>14</v>
      </c>
      <c r="C475" s="12" t="s">
        <v>1328</v>
      </c>
      <c r="D475" s="12" t="s">
        <v>1329</v>
      </c>
      <c r="E475" s="17" t="s">
        <v>1330</v>
      </c>
      <c r="F475" s="15"/>
      <c r="G475" s="15"/>
      <c r="H475" s="15"/>
      <c r="I475" s="3"/>
      <c r="J475" s="4"/>
      <c r="K475" s="4"/>
      <c r="L475" s="4"/>
      <c r="M475" s="4"/>
      <c r="N475" s="4"/>
      <c r="O475" s="4"/>
      <c r="P475" s="4"/>
      <c r="Q475" s="4"/>
      <c r="R475" s="4"/>
      <c r="S475" s="4"/>
      <c r="T475" s="4"/>
      <c r="U475" s="4"/>
      <c r="V475" s="4"/>
    </row>
    <row r="476" spans="1:22" ht="125">
      <c r="A476" s="11">
        <v>44434.240277777775</v>
      </c>
      <c r="B476" s="12" t="s">
        <v>5</v>
      </c>
      <c r="C476" s="12" t="s">
        <v>1331</v>
      </c>
      <c r="D476" s="12" t="s">
        <v>1332</v>
      </c>
      <c r="E476" s="17" t="s">
        <v>1333</v>
      </c>
      <c r="F476" s="15"/>
      <c r="G476" s="15"/>
      <c r="H476" s="15"/>
      <c r="I476" s="3"/>
      <c r="J476" s="4"/>
      <c r="K476" s="4"/>
      <c r="L476" s="4"/>
      <c r="M476" s="4"/>
      <c r="N476" s="4"/>
      <c r="O476" s="4"/>
      <c r="P476" s="4"/>
      <c r="Q476" s="4"/>
      <c r="R476" s="4"/>
      <c r="S476" s="4"/>
      <c r="T476" s="4"/>
      <c r="U476" s="4"/>
      <c r="V476" s="4"/>
    </row>
    <row r="477" spans="1:22" ht="100">
      <c r="A477" s="11">
        <v>44434.240266203706</v>
      </c>
      <c r="B477" s="12" t="s">
        <v>5</v>
      </c>
      <c r="C477" s="12" t="s">
        <v>1334</v>
      </c>
      <c r="D477" s="12" t="s">
        <v>1335</v>
      </c>
      <c r="E477" s="17" t="s">
        <v>1336</v>
      </c>
      <c r="F477" s="15"/>
      <c r="G477" s="15"/>
      <c r="H477" s="15"/>
      <c r="I477" s="3"/>
      <c r="J477" s="4"/>
      <c r="K477" s="4"/>
      <c r="L477" s="4"/>
      <c r="M477" s="4"/>
      <c r="N477" s="4"/>
      <c r="O477" s="4"/>
      <c r="P477" s="4"/>
      <c r="Q477" s="4"/>
      <c r="R477" s="4"/>
      <c r="S477" s="4"/>
      <c r="T477" s="4"/>
      <c r="U477" s="4"/>
      <c r="V477" s="4"/>
    </row>
    <row r="478" spans="1:22" ht="62.5">
      <c r="A478" s="11">
        <v>44434.240266203706</v>
      </c>
      <c r="B478" s="12" t="s">
        <v>32</v>
      </c>
      <c r="C478" s="12" t="s">
        <v>1337</v>
      </c>
      <c r="D478" s="12" t="s">
        <v>1338</v>
      </c>
      <c r="E478" s="17" t="s">
        <v>1339</v>
      </c>
      <c r="F478" s="15"/>
      <c r="G478" s="15"/>
      <c r="H478" s="15"/>
      <c r="I478" s="3"/>
      <c r="J478" s="4"/>
      <c r="K478" s="4"/>
      <c r="L478" s="4"/>
      <c r="M478" s="4"/>
      <c r="N478" s="4"/>
      <c r="O478" s="4"/>
      <c r="P478" s="4"/>
      <c r="Q478" s="4"/>
      <c r="R478" s="4"/>
      <c r="S478" s="4"/>
      <c r="T478" s="4"/>
      <c r="U478" s="4"/>
      <c r="V478" s="4"/>
    </row>
    <row r="479" spans="1:22" ht="62.5">
      <c r="A479" s="11">
        <v>44434.240266203706</v>
      </c>
      <c r="B479" s="12" t="s">
        <v>29</v>
      </c>
      <c r="C479" s="12" t="s">
        <v>1340</v>
      </c>
      <c r="D479" s="12" t="s">
        <v>1341</v>
      </c>
      <c r="E479" s="17" t="s">
        <v>1342</v>
      </c>
      <c r="F479" s="17" t="s">
        <v>1343</v>
      </c>
      <c r="G479" s="15"/>
      <c r="H479" s="15"/>
      <c r="I479" s="3"/>
      <c r="J479" s="4"/>
      <c r="K479" s="4"/>
      <c r="L479" s="4"/>
      <c r="M479" s="4"/>
      <c r="N479" s="4"/>
      <c r="O479" s="4"/>
      <c r="P479" s="4"/>
      <c r="Q479" s="4"/>
      <c r="R479" s="4"/>
      <c r="S479" s="4"/>
      <c r="T479" s="4"/>
      <c r="U479" s="4"/>
      <c r="V479" s="4"/>
    </row>
    <row r="480" spans="1:22" ht="75">
      <c r="A480" s="11">
        <v>44434.240266203706</v>
      </c>
      <c r="B480" s="12" t="s">
        <v>32</v>
      </c>
      <c r="C480" s="12" t="s">
        <v>1344</v>
      </c>
      <c r="D480" s="12" t="s">
        <v>1345</v>
      </c>
      <c r="E480" s="17" t="s">
        <v>1346</v>
      </c>
      <c r="F480" s="15"/>
      <c r="G480" s="15"/>
      <c r="H480" s="15"/>
      <c r="I480" s="3"/>
      <c r="J480" s="4"/>
      <c r="K480" s="4"/>
      <c r="L480" s="4"/>
      <c r="M480" s="4"/>
      <c r="N480" s="4"/>
      <c r="O480" s="4"/>
      <c r="P480" s="4"/>
      <c r="Q480" s="4"/>
      <c r="R480" s="4"/>
      <c r="S480" s="4"/>
      <c r="T480" s="4"/>
      <c r="U480" s="4"/>
      <c r="V480" s="4"/>
    </row>
    <row r="481" spans="1:22" ht="100">
      <c r="A481" s="11">
        <v>44434.240266203706</v>
      </c>
      <c r="B481" s="12" t="s">
        <v>29</v>
      </c>
      <c r="C481" s="12" t="s">
        <v>1347</v>
      </c>
      <c r="D481" s="12" t="s">
        <v>1348</v>
      </c>
      <c r="E481" s="17" t="s">
        <v>1349</v>
      </c>
      <c r="F481" s="17" t="s">
        <v>1350</v>
      </c>
      <c r="G481" s="15"/>
      <c r="H481" s="15"/>
      <c r="I481" s="3"/>
      <c r="J481" s="4"/>
      <c r="K481" s="4"/>
      <c r="L481" s="4"/>
      <c r="M481" s="4"/>
      <c r="N481" s="4"/>
      <c r="O481" s="4"/>
      <c r="P481" s="4"/>
      <c r="Q481" s="4"/>
      <c r="R481" s="4"/>
      <c r="S481" s="4"/>
      <c r="T481" s="4"/>
      <c r="U481" s="4"/>
      <c r="V481" s="4"/>
    </row>
    <row r="482" spans="1:22" ht="87.5">
      <c r="A482" s="11">
        <v>44434.240254629629</v>
      </c>
      <c r="B482" s="12" t="s">
        <v>29</v>
      </c>
      <c r="C482" s="12" t="s">
        <v>1351</v>
      </c>
      <c r="D482" s="12" t="s">
        <v>1352</v>
      </c>
      <c r="E482" s="17" t="s">
        <v>1353</v>
      </c>
      <c r="F482" s="17" t="s">
        <v>1354</v>
      </c>
      <c r="G482" s="15"/>
      <c r="H482" s="15"/>
      <c r="I482" s="3"/>
      <c r="J482" s="4"/>
      <c r="K482" s="4"/>
      <c r="L482" s="4"/>
      <c r="M482" s="4"/>
      <c r="N482" s="4"/>
      <c r="O482" s="4"/>
      <c r="P482" s="4"/>
      <c r="Q482" s="4"/>
      <c r="R482" s="4"/>
      <c r="S482" s="4"/>
      <c r="T482" s="4"/>
      <c r="U482" s="4"/>
      <c r="V482" s="4"/>
    </row>
    <row r="483" spans="1:22" ht="100">
      <c r="A483" s="11">
        <v>44434.240254629629</v>
      </c>
      <c r="B483" s="12" t="s">
        <v>24</v>
      </c>
      <c r="C483" s="12" t="s">
        <v>1355</v>
      </c>
      <c r="D483" s="12" t="s">
        <v>1356</v>
      </c>
      <c r="E483" s="17" t="s">
        <v>1357</v>
      </c>
      <c r="F483" s="17" t="s">
        <v>1358</v>
      </c>
      <c r="G483" s="17" t="s">
        <v>1359</v>
      </c>
      <c r="H483" s="15"/>
      <c r="I483" s="3"/>
      <c r="J483" s="4"/>
      <c r="K483" s="4"/>
      <c r="L483" s="4"/>
      <c r="M483" s="4"/>
      <c r="N483" s="4"/>
      <c r="O483" s="4"/>
      <c r="P483" s="4"/>
      <c r="Q483" s="4"/>
      <c r="R483" s="4"/>
      <c r="S483" s="4"/>
      <c r="T483" s="4"/>
      <c r="U483" s="4"/>
      <c r="V483" s="4"/>
    </row>
    <row r="484" spans="1:22" ht="87.5">
      <c r="A484" s="11">
        <v>44434.240254629629</v>
      </c>
      <c r="B484" s="12" t="s">
        <v>5</v>
      </c>
      <c r="C484" s="12" t="s">
        <v>1360</v>
      </c>
      <c r="D484" s="12" t="s">
        <v>1361</v>
      </c>
      <c r="E484" s="17" t="s">
        <v>1362</v>
      </c>
      <c r="F484" s="15"/>
      <c r="G484" s="15"/>
      <c r="H484" s="15"/>
      <c r="I484" s="3"/>
      <c r="J484" s="4"/>
      <c r="K484" s="4"/>
      <c r="L484" s="4"/>
      <c r="M484" s="4"/>
      <c r="N484" s="4"/>
      <c r="O484" s="4"/>
      <c r="P484" s="4"/>
      <c r="Q484" s="4"/>
      <c r="R484" s="4"/>
      <c r="S484" s="4"/>
      <c r="T484" s="4"/>
      <c r="U484" s="4"/>
      <c r="V484" s="4"/>
    </row>
    <row r="485" spans="1:22" ht="100">
      <c r="A485" s="11">
        <v>44434.240254629629</v>
      </c>
      <c r="B485" s="12" t="s">
        <v>14</v>
      </c>
      <c r="C485" s="12" t="s">
        <v>1363</v>
      </c>
      <c r="D485" s="12" t="s">
        <v>1364</v>
      </c>
      <c r="E485" s="17" t="s">
        <v>1365</v>
      </c>
      <c r="F485" s="17" t="s">
        <v>1366</v>
      </c>
      <c r="G485" s="17" t="s">
        <v>1367</v>
      </c>
      <c r="H485" s="15"/>
      <c r="I485" s="3"/>
      <c r="J485" s="4"/>
      <c r="K485" s="4"/>
      <c r="L485" s="4"/>
      <c r="M485" s="4"/>
      <c r="N485" s="4"/>
      <c r="O485" s="4"/>
      <c r="P485" s="4"/>
      <c r="Q485" s="4"/>
      <c r="R485" s="4"/>
      <c r="S485" s="4"/>
      <c r="T485" s="4"/>
      <c r="U485" s="4"/>
      <c r="V485" s="4"/>
    </row>
    <row r="486" spans="1:22" ht="112.5">
      <c r="A486" s="11">
        <v>44434.240254629629</v>
      </c>
      <c r="B486" s="12" t="s">
        <v>14</v>
      </c>
      <c r="C486" s="12" t="s">
        <v>1368</v>
      </c>
      <c r="D486" s="12" t="s">
        <v>1369</v>
      </c>
      <c r="E486" s="17" t="s">
        <v>1370</v>
      </c>
      <c r="F486" s="15"/>
      <c r="G486" s="15"/>
      <c r="H486" s="15"/>
      <c r="I486" s="3"/>
      <c r="J486" s="4"/>
      <c r="K486" s="4"/>
      <c r="L486" s="4"/>
      <c r="M486" s="4"/>
      <c r="N486" s="4"/>
      <c r="O486" s="4"/>
      <c r="P486" s="4"/>
      <c r="Q486" s="4"/>
      <c r="R486" s="4"/>
      <c r="S486" s="4"/>
      <c r="T486" s="4"/>
      <c r="U486" s="4"/>
      <c r="V486" s="4"/>
    </row>
    <row r="487" spans="1:22" ht="75">
      <c r="A487" s="11">
        <v>44434.240243055552</v>
      </c>
      <c r="B487" s="12" t="s">
        <v>32</v>
      </c>
      <c r="C487" s="12" t="s">
        <v>1371</v>
      </c>
      <c r="D487" s="12" t="s">
        <v>1372</v>
      </c>
      <c r="E487" s="17" t="s">
        <v>1373</v>
      </c>
      <c r="F487" s="15"/>
      <c r="G487" s="15"/>
      <c r="H487" s="15"/>
      <c r="I487" s="3"/>
      <c r="J487" s="4"/>
      <c r="K487" s="4"/>
      <c r="L487" s="4"/>
      <c r="M487" s="4"/>
      <c r="N487" s="4"/>
      <c r="O487" s="4"/>
      <c r="P487" s="4"/>
      <c r="Q487" s="4"/>
      <c r="R487" s="4"/>
      <c r="S487" s="4"/>
      <c r="T487" s="4"/>
      <c r="U487" s="4"/>
      <c r="V487" s="4"/>
    </row>
    <row r="488" spans="1:22" ht="100">
      <c r="A488" s="11">
        <v>44434.240243055552</v>
      </c>
      <c r="B488" s="12" t="s">
        <v>29</v>
      </c>
      <c r="C488" s="12" t="s">
        <v>1374</v>
      </c>
      <c r="D488" s="12" t="s">
        <v>1375</v>
      </c>
      <c r="E488" s="17" t="s">
        <v>1376</v>
      </c>
      <c r="F488" s="15"/>
      <c r="G488" s="15"/>
      <c r="H488" s="15"/>
      <c r="I488" s="3"/>
      <c r="J488" s="4"/>
      <c r="K488" s="4"/>
      <c r="L488" s="4"/>
      <c r="M488" s="4"/>
      <c r="N488" s="4"/>
      <c r="O488" s="4"/>
      <c r="P488" s="4"/>
      <c r="Q488" s="4"/>
      <c r="R488" s="4"/>
      <c r="S488" s="4"/>
      <c r="T488" s="4"/>
      <c r="U488" s="4"/>
      <c r="V488" s="4"/>
    </row>
    <row r="489" spans="1:22" ht="62.5">
      <c r="A489" s="11">
        <v>44401.28738425926</v>
      </c>
      <c r="B489" s="12" t="s">
        <v>24</v>
      </c>
      <c r="C489" s="12" t="s">
        <v>1377</v>
      </c>
      <c r="D489" s="12" t="s">
        <v>1378</v>
      </c>
      <c r="E489" s="17" t="s">
        <v>1379</v>
      </c>
      <c r="F489" s="17" t="s">
        <v>1380</v>
      </c>
      <c r="G489" s="15"/>
      <c r="H489" s="15"/>
      <c r="I489" s="3"/>
      <c r="J489" s="4"/>
      <c r="K489" s="4"/>
      <c r="L489" s="4"/>
      <c r="M489" s="4"/>
      <c r="N489" s="4"/>
      <c r="O489" s="4"/>
      <c r="P489" s="4"/>
      <c r="Q489" s="4"/>
      <c r="R489" s="4"/>
      <c r="S489" s="4"/>
      <c r="T489" s="4"/>
      <c r="U489" s="4"/>
      <c r="V489" s="4"/>
    </row>
    <row r="490" spans="1:22" ht="75">
      <c r="A490" s="11">
        <v>44401.28738425926</v>
      </c>
      <c r="B490" s="12" t="s">
        <v>14</v>
      </c>
      <c r="C490" s="12" t="s">
        <v>1381</v>
      </c>
      <c r="D490" s="12" t="s">
        <v>1382</v>
      </c>
      <c r="E490" s="17" t="s">
        <v>1383</v>
      </c>
      <c r="F490" s="17" t="s">
        <v>1384</v>
      </c>
      <c r="G490" s="15"/>
      <c r="H490" s="15"/>
      <c r="I490" s="3"/>
      <c r="J490" s="4"/>
      <c r="K490" s="4"/>
      <c r="L490" s="4"/>
      <c r="M490" s="4"/>
      <c r="N490" s="4"/>
      <c r="O490" s="4"/>
      <c r="P490" s="4"/>
      <c r="Q490" s="4"/>
      <c r="R490" s="4"/>
      <c r="S490" s="4"/>
      <c r="T490" s="4"/>
      <c r="U490" s="4"/>
      <c r="V490" s="4"/>
    </row>
    <row r="491" spans="1:22" ht="75">
      <c r="A491" s="11">
        <v>44401.28738425926</v>
      </c>
      <c r="B491" s="12" t="s">
        <v>14</v>
      </c>
      <c r="C491" s="12" t="s">
        <v>1385</v>
      </c>
      <c r="D491" s="12" t="s">
        <v>1386</v>
      </c>
      <c r="E491" s="17" t="s">
        <v>1387</v>
      </c>
      <c r="F491" s="15"/>
      <c r="G491" s="15"/>
      <c r="H491" s="15"/>
      <c r="I491" s="3"/>
      <c r="J491" s="4"/>
      <c r="K491" s="4"/>
      <c r="L491" s="4"/>
      <c r="M491" s="4"/>
      <c r="N491" s="4"/>
      <c r="O491" s="4"/>
      <c r="P491" s="4"/>
      <c r="Q491" s="4"/>
      <c r="R491" s="4"/>
      <c r="S491" s="4"/>
      <c r="T491" s="4"/>
      <c r="U491" s="4"/>
      <c r="V491" s="4"/>
    </row>
    <row r="492" spans="1:22" ht="87.5">
      <c r="A492" s="11">
        <v>44401.28738425926</v>
      </c>
      <c r="B492" s="12" t="s">
        <v>5</v>
      </c>
      <c r="C492" s="12" t="s">
        <v>1388</v>
      </c>
      <c r="D492" s="12" t="s">
        <v>1389</v>
      </c>
      <c r="E492" s="17" t="s">
        <v>1390</v>
      </c>
      <c r="F492" s="15"/>
      <c r="G492" s="15"/>
      <c r="H492" s="15"/>
      <c r="I492" s="3"/>
      <c r="J492" s="4"/>
      <c r="K492" s="4"/>
      <c r="L492" s="4"/>
      <c r="M492" s="4"/>
      <c r="N492" s="4"/>
      <c r="O492" s="4"/>
      <c r="P492" s="4"/>
      <c r="Q492" s="4"/>
      <c r="R492" s="4"/>
      <c r="S492" s="4"/>
      <c r="T492" s="4"/>
      <c r="U492" s="4"/>
      <c r="V492" s="4"/>
    </row>
    <row r="493" spans="1:22" ht="87.5">
      <c r="A493" s="11">
        <v>44401.28738425926</v>
      </c>
      <c r="B493" s="12" t="s">
        <v>5</v>
      </c>
      <c r="C493" s="12" t="s">
        <v>1391</v>
      </c>
      <c r="D493" s="12" t="s">
        <v>1392</v>
      </c>
      <c r="E493" s="17" t="s">
        <v>1393</v>
      </c>
      <c r="F493" s="15"/>
      <c r="G493" s="15"/>
      <c r="H493" s="15"/>
      <c r="I493" s="3"/>
      <c r="J493" s="4"/>
      <c r="K493" s="4"/>
      <c r="L493" s="4"/>
      <c r="M493" s="4"/>
      <c r="N493" s="4"/>
      <c r="O493" s="4"/>
      <c r="P493" s="4"/>
      <c r="Q493" s="4"/>
      <c r="R493" s="4"/>
      <c r="S493" s="4"/>
      <c r="T493" s="4"/>
      <c r="U493" s="4"/>
      <c r="V493" s="4"/>
    </row>
    <row r="494" spans="1:22" ht="87.5">
      <c r="A494" s="11">
        <v>44401.287372685183</v>
      </c>
      <c r="B494" s="12" t="s">
        <v>29</v>
      </c>
      <c r="C494" s="12" t="s">
        <v>1394</v>
      </c>
      <c r="D494" s="12" t="s">
        <v>1395</v>
      </c>
      <c r="E494" s="17" t="s">
        <v>1396</v>
      </c>
      <c r="F494" s="17" t="s">
        <v>1397</v>
      </c>
      <c r="G494" s="15"/>
      <c r="H494" s="15"/>
      <c r="I494" s="3"/>
      <c r="J494" s="4"/>
      <c r="K494" s="4"/>
      <c r="L494" s="4"/>
      <c r="M494" s="4"/>
      <c r="N494" s="4"/>
      <c r="O494" s="4"/>
      <c r="P494" s="4"/>
      <c r="Q494" s="4"/>
      <c r="R494" s="4"/>
      <c r="S494" s="4"/>
      <c r="T494" s="4"/>
      <c r="U494" s="4"/>
      <c r="V494" s="4"/>
    </row>
    <row r="495" spans="1:22" ht="87.5">
      <c r="A495" s="11">
        <v>44401.287372685183</v>
      </c>
      <c r="B495" s="12" t="s">
        <v>32</v>
      </c>
      <c r="C495" s="12" t="s">
        <v>1398</v>
      </c>
      <c r="D495" s="12" t="s">
        <v>1399</v>
      </c>
      <c r="E495" s="17" t="s">
        <v>1400</v>
      </c>
      <c r="F495" s="17" t="s">
        <v>1401</v>
      </c>
      <c r="G495" s="15"/>
      <c r="H495" s="15"/>
      <c r="I495" s="3"/>
      <c r="J495" s="4"/>
      <c r="K495" s="4"/>
      <c r="L495" s="4"/>
      <c r="M495" s="4"/>
      <c r="N495" s="4"/>
      <c r="O495" s="4"/>
      <c r="P495" s="4"/>
      <c r="Q495" s="4"/>
      <c r="R495" s="4"/>
      <c r="S495" s="4"/>
      <c r="T495" s="4"/>
      <c r="U495" s="4"/>
      <c r="V495" s="4"/>
    </row>
    <row r="496" spans="1:22" ht="75">
      <c r="A496" s="11">
        <v>44401.287372685183</v>
      </c>
      <c r="B496" s="12" t="s">
        <v>32</v>
      </c>
      <c r="C496" s="12" t="s">
        <v>1402</v>
      </c>
      <c r="D496" s="12" t="s">
        <v>1403</v>
      </c>
      <c r="E496" s="17" t="s">
        <v>1404</v>
      </c>
      <c r="F496" s="17" t="s">
        <v>1405</v>
      </c>
      <c r="G496" s="15"/>
      <c r="H496" s="15"/>
      <c r="I496" s="3"/>
      <c r="J496" s="4"/>
      <c r="K496" s="4"/>
      <c r="L496" s="4"/>
      <c r="M496" s="4"/>
      <c r="N496" s="4"/>
      <c r="O496" s="4"/>
      <c r="P496" s="4"/>
      <c r="Q496" s="4"/>
      <c r="R496" s="4"/>
      <c r="S496" s="4"/>
      <c r="T496" s="4"/>
      <c r="U496" s="4"/>
      <c r="V496" s="4"/>
    </row>
    <row r="497" spans="1:22" ht="112.5">
      <c r="A497" s="11">
        <v>44401.287372685183</v>
      </c>
      <c r="B497" s="12" t="s">
        <v>29</v>
      </c>
      <c r="C497" s="12" t="s">
        <v>1406</v>
      </c>
      <c r="D497" s="12" t="s">
        <v>1407</v>
      </c>
      <c r="E497" s="17" t="s">
        <v>1408</v>
      </c>
      <c r="F497" s="15"/>
      <c r="G497" s="15"/>
      <c r="H497" s="15"/>
      <c r="I497" s="3"/>
      <c r="J497" s="4"/>
      <c r="K497" s="4"/>
      <c r="L497" s="4"/>
      <c r="M497" s="4"/>
      <c r="N497" s="4"/>
      <c r="O497" s="4"/>
      <c r="P497" s="4"/>
      <c r="Q497" s="4"/>
      <c r="R497" s="4"/>
      <c r="S497" s="4"/>
      <c r="T497" s="4"/>
      <c r="U497" s="4"/>
      <c r="V497" s="4"/>
    </row>
    <row r="498" spans="1:22" ht="75">
      <c r="A498" s="11">
        <v>44401.287372685183</v>
      </c>
      <c r="B498" s="12" t="s">
        <v>24</v>
      </c>
      <c r="C498" s="12" t="s">
        <v>1409</v>
      </c>
      <c r="D498" s="12" t="s">
        <v>1410</v>
      </c>
      <c r="E498" s="17" t="s">
        <v>1411</v>
      </c>
      <c r="F498" s="15"/>
      <c r="G498" s="15"/>
      <c r="H498" s="15"/>
      <c r="I498" s="3"/>
      <c r="J498" s="4"/>
      <c r="K498" s="4"/>
      <c r="L498" s="4"/>
      <c r="M498" s="4"/>
      <c r="N498" s="4"/>
      <c r="O498" s="4"/>
      <c r="P498" s="4"/>
      <c r="Q498" s="4"/>
      <c r="R498" s="4"/>
      <c r="S498" s="4"/>
      <c r="T498" s="4"/>
      <c r="U498" s="4"/>
      <c r="V498" s="4"/>
    </row>
    <row r="499" spans="1:22" ht="75">
      <c r="A499" s="11">
        <v>44401.287361111114</v>
      </c>
      <c r="B499" s="12" t="s">
        <v>14</v>
      </c>
      <c r="C499" s="12" t="s">
        <v>1412</v>
      </c>
      <c r="D499" s="12" t="s">
        <v>1413</v>
      </c>
      <c r="E499" s="17" t="s">
        <v>1414</v>
      </c>
      <c r="F499" s="17" t="s">
        <v>1415</v>
      </c>
      <c r="G499" s="15"/>
      <c r="H499" s="15"/>
      <c r="I499" s="3"/>
      <c r="J499" s="4"/>
      <c r="K499" s="4"/>
      <c r="L499" s="4"/>
      <c r="M499" s="4"/>
      <c r="N499" s="4"/>
      <c r="O499" s="4"/>
      <c r="P499" s="4"/>
      <c r="Q499" s="4"/>
      <c r="R499" s="4"/>
      <c r="S499" s="4"/>
      <c r="T499" s="4"/>
      <c r="U499" s="4"/>
      <c r="V499" s="4"/>
    </row>
    <row r="500" spans="1:22" ht="125">
      <c r="A500" s="11">
        <v>44401.287361111114</v>
      </c>
      <c r="B500" s="12" t="s">
        <v>14</v>
      </c>
      <c r="C500" s="12" t="s">
        <v>1416</v>
      </c>
      <c r="D500" s="12" t="s">
        <v>1417</v>
      </c>
      <c r="E500" s="17" t="s">
        <v>1418</v>
      </c>
      <c r="F500" s="17" t="s">
        <v>1419</v>
      </c>
      <c r="G500" s="15"/>
      <c r="H500" s="15"/>
      <c r="I500" s="3"/>
      <c r="J500" s="4"/>
      <c r="K500" s="4"/>
      <c r="L500" s="4"/>
      <c r="M500" s="4"/>
      <c r="N500" s="4"/>
      <c r="O500" s="4"/>
      <c r="P500" s="4"/>
      <c r="Q500" s="4"/>
      <c r="R500" s="4"/>
      <c r="S500" s="4"/>
      <c r="T500" s="4"/>
      <c r="U500" s="4"/>
      <c r="V500" s="4"/>
    </row>
    <row r="501" spans="1:22" ht="100">
      <c r="A501" s="11">
        <v>44401.287361111114</v>
      </c>
      <c r="B501" s="12" t="s">
        <v>5</v>
      </c>
      <c r="C501" s="12" t="s">
        <v>1420</v>
      </c>
      <c r="D501" s="12" t="s">
        <v>1421</v>
      </c>
      <c r="E501" s="17" t="s">
        <v>1422</v>
      </c>
      <c r="F501" s="15"/>
      <c r="G501" s="15"/>
      <c r="H501" s="15"/>
      <c r="I501" s="3"/>
      <c r="J501" s="4"/>
      <c r="K501" s="4"/>
      <c r="L501" s="4"/>
      <c r="M501" s="4"/>
      <c r="N501" s="4"/>
      <c r="O501" s="4"/>
      <c r="P501" s="4"/>
      <c r="Q501" s="4"/>
      <c r="R501" s="4"/>
      <c r="S501" s="4"/>
      <c r="T501" s="4"/>
      <c r="U501" s="4"/>
      <c r="V501" s="4"/>
    </row>
    <row r="502" spans="1:22" ht="100">
      <c r="A502" s="11">
        <v>44401.287361111114</v>
      </c>
      <c r="B502" s="12" t="s">
        <v>5</v>
      </c>
      <c r="C502" s="12" t="s">
        <v>1423</v>
      </c>
      <c r="D502" s="12" t="s">
        <v>1424</v>
      </c>
      <c r="E502" s="17" t="s">
        <v>1425</v>
      </c>
      <c r="F502" s="15"/>
      <c r="G502" s="15"/>
      <c r="H502" s="15"/>
      <c r="I502" s="3"/>
      <c r="J502" s="4"/>
      <c r="K502" s="4"/>
      <c r="L502" s="4"/>
      <c r="M502" s="4"/>
      <c r="N502" s="4"/>
      <c r="O502" s="4"/>
      <c r="P502" s="4"/>
      <c r="Q502" s="4"/>
      <c r="R502" s="4"/>
      <c r="S502" s="4"/>
      <c r="T502" s="4"/>
      <c r="U502" s="4"/>
      <c r="V502" s="4"/>
    </row>
    <row r="503" spans="1:22" ht="87.5">
      <c r="A503" s="11">
        <v>44401.287361111114</v>
      </c>
      <c r="B503" s="12" t="s">
        <v>32</v>
      </c>
      <c r="C503" s="12" t="s">
        <v>1426</v>
      </c>
      <c r="D503" s="12" t="s">
        <v>1427</v>
      </c>
      <c r="E503" s="17" t="s">
        <v>1428</v>
      </c>
      <c r="F503" s="15"/>
      <c r="G503" s="15"/>
      <c r="H503" s="15"/>
      <c r="I503" s="3"/>
      <c r="J503" s="4"/>
      <c r="K503" s="4"/>
      <c r="L503" s="4"/>
      <c r="M503" s="4"/>
      <c r="N503" s="4"/>
      <c r="O503" s="4"/>
      <c r="P503" s="4"/>
      <c r="Q503" s="4"/>
      <c r="R503" s="4"/>
      <c r="S503" s="4"/>
      <c r="T503" s="4"/>
      <c r="U503" s="4"/>
      <c r="V503" s="4"/>
    </row>
    <row r="504" spans="1:22" ht="62.5">
      <c r="A504" s="11">
        <v>44401.287349537037</v>
      </c>
      <c r="B504" s="12" t="s">
        <v>32</v>
      </c>
      <c r="C504" s="12" t="s">
        <v>1429</v>
      </c>
      <c r="D504" s="12" t="s">
        <v>1430</v>
      </c>
      <c r="E504" s="17" t="s">
        <v>1431</v>
      </c>
      <c r="F504" s="15"/>
      <c r="G504" s="15"/>
      <c r="H504" s="15"/>
      <c r="I504" s="3"/>
      <c r="J504" s="4"/>
      <c r="K504" s="4"/>
      <c r="L504" s="4"/>
      <c r="M504" s="4"/>
      <c r="N504" s="4"/>
      <c r="O504" s="4"/>
      <c r="P504" s="4"/>
      <c r="Q504" s="4"/>
      <c r="R504" s="4"/>
      <c r="S504" s="4"/>
      <c r="T504" s="4"/>
      <c r="U504" s="4"/>
      <c r="V504" s="4"/>
    </row>
    <row r="505" spans="1:22" ht="87.5">
      <c r="A505" s="11">
        <v>44401.287349537037</v>
      </c>
      <c r="B505" s="12" t="s">
        <v>29</v>
      </c>
      <c r="C505" s="12" t="s">
        <v>1432</v>
      </c>
      <c r="D505" s="12" t="s">
        <v>1433</v>
      </c>
      <c r="E505" s="17" t="s">
        <v>1434</v>
      </c>
      <c r="F505" s="17" t="s">
        <v>1435</v>
      </c>
      <c r="G505" s="15"/>
      <c r="H505" s="15"/>
      <c r="I505" s="3"/>
      <c r="J505" s="4"/>
      <c r="K505" s="4"/>
      <c r="L505" s="4"/>
      <c r="M505" s="4"/>
      <c r="N505" s="4"/>
      <c r="O505" s="4"/>
      <c r="P505" s="4"/>
      <c r="Q505" s="4"/>
      <c r="R505" s="4"/>
      <c r="S505" s="4"/>
      <c r="T505" s="4"/>
      <c r="U505" s="4"/>
      <c r="V505" s="4"/>
    </row>
    <row r="506" spans="1:22" ht="87.5">
      <c r="A506" s="11">
        <v>44401.287349537037</v>
      </c>
      <c r="B506" s="12" t="s">
        <v>24</v>
      </c>
      <c r="C506" s="12" t="s">
        <v>1436</v>
      </c>
      <c r="D506" s="12" t="s">
        <v>1437</v>
      </c>
      <c r="E506" s="17" t="s">
        <v>1438</v>
      </c>
      <c r="F506" s="17" t="s">
        <v>1439</v>
      </c>
      <c r="G506" s="15"/>
      <c r="H506" s="15"/>
      <c r="I506" s="3"/>
      <c r="J506" s="4"/>
      <c r="K506" s="4"/>
      <c r="L506" s="4"/>
      <c r="M506" s="4"/>
      <c r="N506" s="4"/>
      <c r="O506" s="4"/>
      <c r="P506" s="4"/>
      <c r="Q506" s="4"/>
      <c r="R506" s="4"/>
      <c r="S506" s="4"/>
      <c r="T506" s="4"/>
      <c r="U506" s="4"/>
      <c r="V506" s="4"/>
    </row>
    <row r="507" spans="1:22" ht="75">
      <c r="A507" s="11">
        <v>44401.287349537037</v>
      </c>
      <c r="B507" s="12" t="s">
        <v>24</v>
      </c>
      <c r="C507" s="12" t="s">
        <v>1440</v>
      </c>
      <c r="D507" s="12" t="s">
        <v>1441</v>
      </c>
      <c r="E507" s="17" t="s">
        <v>1442</v>
      </c>
      <c r="F507" s="17" t="s">
        <v>1443</v>
      </c>
      <c r="G507" s="15"/>
      <c r="H507" s="15"/>
      <c r="I507" s="3"/>
      <c r="J507" s="4"/>
      <c r="K507" s="4"/>
      <c r="L507" s="4"/>
      <c r="M507" s="4"/>
      <c r="N507" s="4"/>
      <c r="O507" s="4"/>
      <c r="P507" s="4"/>
      <c r="Q507" s="4"/>
      <c r="R507" s="4"/>
      <c r="S507" s="4"/>
      <c r="T507" s="4"/>
      <c r="U507" s="4"/>
      <c r="V507" s="4"/>
    </row>
  </sheetData>
  <autoFilter ref="A1:I507" xr:uid="{00000000-0009-0000-0000-000000000000}"/>
  <hyperlinks>
    <hyperlink ref="E223" r:id="rId1" location="register" xr:uid="{00000000-0004-0000-0000-000000000000}"/>
    <hyperlink ref="E224" r:id="rId2" xr:uid="{00000000-0004-0000-0000-000001000000}"/>
    <hyperlink ref="F224" r:id="rId3" xr:uid="{00000000-0004-0000-0000-000002000000}"/>
    <hyperlink ref="E225" r:id="rId4" xr:uid="{00000000-0004-0000-0000-000003000000}"/>
    <hyperlink ref="E226" r:id="rId5" xr:uid="{00000000-0004-0000-0000-000004000000}"/>
    <hyperlink ref="F226" r:id="rId6" xr:uid="{00000000-0004-0000-0000-000005000000}"/>
    <hyperlink ref="E227" r:id="rId7" xr:uid="{00000000-0004-0000-0000-000006000000}"/>
    <hyperlink ref="E228" r:id="rId8" xr:uid="{00000000-0004-0000-0000-000007000000}"/>
    <hyperlink ref="E229" r:id="rId9" xr:uid="{00000000-0004-0000-0000-000008000000}"/>
    <hyperlink ref="E230" r:id="rId10" xr:uid="{00000000-0004-0000-0000-000009000000}"/>
    <hyperlink ref="E231" r:id="rId11" xr:uid="{00000000-0004-0000-0000-00000A000000}"/>
    <hyperlink ref="E232" r:id="rId12" xr:uid="{00000000-0004-0000-0000-00000B000000}"/>
    <hyperlink ref="E233" r:id="rId13" xr:uid="{00000000-0004-0000-0000-00000C000000}"/>
    <hyperlink ref="F233" r:id="rId14" xr:uid="{00000000-0004-0000-0000-00000D000000}"/>
    <hyperlink ref="E234" r:id="rId15" xr:uid="{00000000-0004-0000-0000-00000E000000}"/>
    <hyperlink ref="E235" r:id="rId16" xr:uid="{00000000-0004-0000-0000-00000F000000}"/>
    <hyperlink ref="F235" r:id="rId17" xr:uid="{00000000-0004-0000-0000-000010000000}"/>
    <hyperlink ref="E236" r:id="rId18" xr:uid="{00000000-0004-0000-0000-000011000000}"/>
    <hyperlink ref="E237" r:id="rId19" xr:uid="{00000000-0004-0000-0000-000012000000}"/>
    <hyperlink ref="E238" r:id="rId20" xr:uid="{00000000-0004-0000-0000-000013000000}"/>
    <hyperlink ref="E239" r:id="rId21" xr:uid="{00000000-0004-0000-0000-000014000000}"/>
    <hyperlink ref="F239" r:id="rId22" xr:uid="{00000000-0004-0000-0000-000015000000}"/>
    <hyperlink ref="E240" r:id="rId23" xr:uid="{00000000-0004-0000-0000-000016000000}"/>
    <hyperlink ref="F240" r:id="rId24" xr:uid="{00000000-0004-0000-0000-000017000000}"/>
    <hyperlink ref="E241" r:id="rId25" xr:uid="{00000000-0004-0000-0000-000018000000}"/>
    <hyperlink ref="E242" r:id="rId26" xr:uid="{00000000-0004-0000-0000-000019000000}"/>
    <hyperlink ref="E243" r:id="rId27" xr:uid="{00000000-0004-0000-0000-00001A000000}"/>
    <hyperlink ref="E244" r:id="rId28" xr:uid="{00000000-0004-0000-0000-00001B000000}"/>
    <hyperlink ref="E245" r:id="rId29" xr:uid="{00000000-0004-0000-0000-00001C000000}"/>
    <hyperlink ref="F245" r:id="rId30" xr:uid="{00000000-0004-0000-0000-00001D000000}"/>
    <hyperlink ref="E246" r:id="rId31" xr:uid="{00000000-0004-0000-0000-00001E000000}"/>
    <hyperlink ref="E247" r:id="rId32" xr:uid="{00000000-0004-0000-0000-00001F000000}"/>
    <hyperlink ref="E248" r:id="rId33" xr:uid="{00000000-0004-0000-0000-000020000000}"/>
    <hyperlink ref="E249" r:id="rId34" xr:uid="{00000000-0004-0000-0000-000021000000}"/>
    <hyperlink ref="E250" r:id="rId35" xr:uid="{00000000-0004-0000-0000-000022000000}"/>
    <hyperlink ref="E251" r:id="rId36" xr:uid="{00000000-0004-0000-0000-000023000000}"/>
    <hyperlink ref="E252" r:id="rId37" xr:uid="{00000000-0004-0000-0000-000024000000}"/>
    <hyperlink ref="F252" r:id="rId38" xr:uid="{00000000-0004-0000-0000-000025000000}"/>
    <hyperlink ref="G252" r:id="rId39" xr:uid="{00000000-0004-0000-0000-000026000000}"/>
    <hyperlink ref="H252" r:id="rId40" location="tab-1" xr:uid="{00000000-0004-0000-0000-000027000000}"/>
    <hyperlink ref="E253" r:id="rId41" xr:uid="{00000000-0004-0000-0000-000028000000}"/>
    <hyperlink ref="F253" r:id="rId42" xr:uid="{00000000-0004-0000-0000-000029000000}"/>
    <hyperlink ref="E254" r:id="rId43" xr:uid="{00000000-0004-0000-0000-00002A000000}"/>
    <hyperlink ref="E255" r:id="rId44" xr:uid="{00000000-0004-0000-0000-00002B000000}"/>
    <hyperlink ref="E256" r:id="rId45" xr:uid="{00000000-0004-0000-0000-00002C000000}"/>
    <hyperlink ref="E257" r:id="rId46" xr:uid="{00000000-0004-0000-0000-00002D000000}"/>
    <hyperlink ref="E258" r:id="rId47" xr:uid="{00000000-0004-0000-0000-00002E000000}"/>
    <hyperlink ref="E259" r:id="rId48" xr:uid="{00000000-0004-0000-0000-00002F000000}"/>
    <hyperlink ref="E260" r:id="rId49" xr:uid="{00000000-0004-0000-0000-000030000000}"/>
    <hyperlink ref="E261" r:id="rId50" xr:uid="{00000000-0004-0000-0000-000031000000}"/>
    <hyperlink ref="E262" r:id="rId51" xr:uid="{00000000-0004-0000-0000-000032000000}"/>
    <hyperlink ref="E263" r:id="rId52" xr:uid="{00000000-0004-0000-0000-000033000000}"/>
    <hyperlink ref="F263" r:id="rId53" xr:uid="{00000000-0004-0000-0000-000034000000}"/>
    <hyperlink ref="E264" r:id="rId54" xr:uid="{00000000-0004-0000-0000-000035000000}"/>
    <hyperlink ref="E265" r:id="rId55" xr:uid="{00000000-0004-0000-0000-000036000000}"/>
    <hyperlink ref="E266" r:id="rId56" xr:uid="{00000000-0004-0000-0000-000037000000}"/>
    <hyperlink ref="E267" r:id="rId57" xr:uid="{00000000-0004-0000-0000-000038000000}"/>
    <hyperlink ref="E268" r:id="rId58" xr:uid="{00000000-0004-0000-0000-000039000000}"/>
    <hyperlink ref="E269" r:id="rId59" xr:uid="{00000000-0004-0000-0000-00003A000000}"/>
    <hyperlink ref="E270" r:id="rId60" xr:uid="{00000000-0004-0000-0000-00003B000000}"/>
    <hyperlink ref="E271" r:id="rId61" xr:uid="{00000000-0004-0000-0000-00003C000000}"/>
    <hyperlink ref="E272" r:id="rId62" xr:uid="{00000000-0004-0000-0000-00003D000000}"/>
    <hyperlink ref="E273" r:id="rId63" xr:uid="{00000000-0004-0000-0000-00003E000000}"/>
    <hyperlink ref="F273" r:id="rId64" xr:uid="{00000000-0004-0000-0000-00003F000000}"/>
    <hyperlink ref="E274" r:id="rId65" xr:uid="{00000000-0004-0000-0000-000040000000}"/>
    <hyperlink ref="E275" r:id="rId66" xr:uid="{00000000-0004-0000-0000-000041000000}"/>
    <hyperlink ref="F275" r:id="rId67" xr:uid="{00000000-0004-0000-0000-000042000000}"/>
    <hyperlink ref="E276" r:id="rId68" xr:uid="{00000000-0004-0000-0000-000043000000}"/>
    <hyperlink ref="E277" r:id="rId69" xr:uid="{00000000-0004-0000-0000-000044000000}"/>
    <hyperlink ref="F277" r:id="rId70" xr:uid="{00000000-0004-0000-0000-000045000000}"/>
    <hyperlink ref="E278" r:id="rId71" xr:uid="{00000000-0004-0000-0000-000046000000}"/>
    <hyperlink ref="F278" r:id="rId72" xr:uid="{00000000-0004-0000-0000-000047000000}"/>
    <hyperlink ref="E279" r:id="rId73" location=":~:text=%E2%80%9CI%20encourage%20everyone%20in%20Scotland,part%20in%20these%20vital%20consultations.%E2%80%9D&amp;text=The%20consultations%20on%20the%20Circular,run%20until%2022%20August%202022." xr:uid="{00000000-0004-0000-0000-000048000000}"/>
    <hyperlink ref="F279" r:id="rId74" xr:uid="{00000000-0004-0000-0000-000049000000}"/>
    <hyperlink ref="E280" r:id="rId75" xr:uid="{00000000-0004-0000-0000-00004A000000}"/>
    <hyperlink ref="F280" r:id="rId76" xr:uid="{00000000-0004-0000-0000-00004B000000}"/>
    <hyperlink ref="E281" r:id="rId77" xr:uid="{00000000-0004-0000-0000-00004C000000}"/>
    <hyperlink ref="F281" r:id="rId78" xr:uid="{00000000-0004-0000-0000-00004D000000}"/>
    <hyperlink ref="E282" r:id="rId79" xr:uid="{00000000-0004-0000-0000-00004E000000}"/>
    <hyperlink ref="F282" r:id="rId80" xr:uid="{00000000-0004-0000-0000-00004F000000}"/>
    <hyperlink ref="E283" r:id="rId81" xr:uid="{00000000-0004-0000-0000-000050000000}"/>
    <hyperlink ref="F283" r:id="rId82" xr:uid="{00000000-0004-0000-0000-000051000000}"/>
    <hyperlink ref="E284" r:id="rId83" xr:uid="{00000000-0004-0000-0000-000052000000}"/>
    <hyperlink ref="E285" r:id="rId84" xr:uid="{00000000-0004-0000-0000-000053000000}"/>
    <hyperlink ref="F285" r:id="rId85" xr:uid="{00000000-0004-0000-0000-000054000000}"/>
    <hyperlink ref="E286" r:id="rId86" location="Hackathon" xr:uid="{00000000-0004-0000-0000-000055000000}"/>
    <hyperlink ref="E287" r:id="rId87" xr:uid="{00000000-0004-0000-0000-000056000000}"/>
    <hyperlink ref="E288" r:id="rId88" xr:uid="{00000000-0004-0000-0000-000057000000}"/>
    <hyperlink ref="F288" r:id="rId89" xr:uid="{00000000-0004-0000-0000-000058000000}"/>
    <hyperlink ref="E289" r:id="rId90" xr:uid="{00000000-0004-0000-0000-000059000000}"/>
    <hyperlink ref="F289" r:id="rId91" xr:uid="{00000000-0004-0000-0000-00005A000000}"/>
    <hyperlink ref="E290" r:id="rId92" xr:uid="{00000000-0004-0000-0000-00005B000000}"/>
    <hyperlink ref="F290" r:id="rId93" xr:uid="{00000000-0004-0000-0000-00005C000000}"/>
    <hyperlink ref="E291" r:id="rId94" xr:uid="{00000000-0004-0000-0000-00005D000000}"/>
    <hyperlink ref="F291" r:id="rId95" xr:uid="{00000000-0004-0000-0000-00005E000000}"/>
    <hyperlink ref="G291" r:id="rId96" xr:uid="{00000000-0004-0000-0000-00005F000000}"/>
    <hyperlink ref="E292" r:id="rId97" xr:uid="{00000000-0004-0000-0000-000060000000}"/>
    <hyperlink ref="E293" r:id="rId98" xr:uid="{00000000-0004-0000-0000-000061000000}"/>
    <hyperlink ref="F293" r:id="rId99" xr:uid="{00000000-0004-0000-0000-000062000000}"/>
    <hyperlink ref="E294" r:id="rId100" xr:uid="{00000000-0004-0000-0000-000063000000}"/>
    <hyperlink ref="F294" r:id="rId101" xr:uid="{00000000-0004-0000-0000-000064000000}"/>
    <hyperlink ref="E295" r:id="rId102" xr:uid="{00000000-0004-0000-0000-000065000000}"/>
    <hyperlink ref="E296" r:id="rId103" xr:uid="{00000000-0004-0000-0000-000066000000}"/>
    <hyperlink ref="E297" r:id="rId104" xr:uid="{00000000-0004-0000-0000-000067000000}"/>
    <hyperlink ref="F297" r:id="rId105" xr:uid="{00000000-0004-0000-0000-000068000000}"/>
    <hyperlink ref="E298" r:id="rId106" xr:uid="{00000000-0004-0000-0000-000069000000}"/>
    <hyperlink ref="E299" r:id="rId107" location=":~:text=%C2%A9Steinmetzdemeyer-,Pavillon%20luxembourgeois,imaginer%20notre%20vie%20de%20demain%22." xr:uid="{00000000-0004-0000-0000-00006A000000}"/>
    <hyperlink ref="F299" r:id="rId108" xr:uid="{00000000-0004-0000-0000-00006B000000}"/>
    <hyperlink ref="E300" r:id="rId109" xr:uid="{00000000-0004-0000-0000-00006C000000}"/>
    <hyperlink ref="F300" r:id="rId110" location=":~:text=The%20bill%2C%20which%20allows%20customers,to%20Gov.%20Kathy%20Hochul's%20desk.&amp;text=The%20New%20York%20State%20Senate,information%20to%20repair%20personal%20electronics." xr:uid="{00000000-0004-0000-0000-00006D000000}"/>
    <hyperlink ref="E301" r:id="rId111" xr:uid="{00000000-0004-0000-0000-00006E000000}"/>
    <hyperlink ref="F301" r:id="rId112" xr:uid="{00000000-0004-0000-0000-00006F000000}"/>
    <hyperlink ref="G301" r:id="rId113" xr:uid="{00000000-0004-0000-0000-000070000000}"/>
    <hyperlink ref="E302" r:id="rId114" xr:uid="{00000000-0004-0000-0000-000071000000}"/>
    <hyperlink ref="E303" r:id="rId115" xr:uid="{00000000-0004-0000-0000-000072000000}"/>
    <hyperlink ref="E304" r:id="rId116" xr:uid="{00000000-0004-0000-0000-000073000000}"/>
    <hyperlink ref="E305" r:id="rId117" xr:uid="{00000000-0004-0000-0000-000074000000}"/>
    <hyperlink ref="E306" r:id="rId118" xr:uid="{00000000-0004-0000-0000-000075000000}"/>
    <hyperlink ref="F306" r:id="rId119" xr:uid="{00000000-0004-0000-0000-000076000000}"/>
    <hyperlink ref="E307" r:id="rId120" xr:uid="{00000000-0004-0000-0000-000077000000}"/>
    <hyperlink ref="F307" r:id="rId121" xr:uid="{00000000-0004-0000-0000-000078000000}"/>
    <hyperlink ref="E308" r:id="rId122" xr:uid="{00000000-0004-0000-0000-000079000000}"/>
    <hyperlink ref="E309" r:id="rId123" xr:uid="{00000000-0004-0000-0000-00007A000000}"/>
    <hyperlink ref="F309" r:id="rId124" xr:uid="{00000000-0004-0000-0000-00007B000000}"/>
    <hyperlink ref="G309" r:id="rId125" xr:uid="{00000000-0004-0000-0000-00007C000000}"/>
    <hyperlink ref="E310" r:id="rId126" xr:uid="{00000000-0004-0000-0000-00007D000000}"/>
    <hyperlink ref="E311" r:id="rId127" xr:uid="{00000000-0004-0000-0000-00007E000000}"/>
    <hyperlink ref="E312" r:id="rId128" xr:uid="{00000000-0004-0000-0000-00007F000000}"/>
    <hyperlink ref="F312" r:id="rId129" xr:uid="{00000000-0004-0000-0000-000080000000}"/>
    <hyperlink ref="E313" r:id="rId130" xr:uid="{00000000-0004-0000-0000-000081000000}"/>
    <hyperlink ref="E314" r:id="rId131" xr:uid="{00000000-0004-0000-0000-000082000000}"/>
    <hyperlink ref="E315" r:id="rId132" xr:uid="{00000000-0004-0000-0000-000083000000}"/>
    <hyperlink ref="E316" r:id="rId133" xr:uid="{00000000-0004-0000-0000-000084000000}"/>
    <hyperlink ref="E317" r:id="rId134" xr:uid="{00000000-0004-0000-0000-000085000000}"/>
    <hyperlink ref="F317" r:id="rId135" xr:uid="{00000000-0004-0000-0000-000086000000}"/>
    <hyperlink ref="G317" r:id="rId136" xr:uid="{00000000-0004-0000-0000-000087000000}"/>
    <hyperlink ref="E318" r:id="rId137" xr:uid="{00000000-0004-0000-0000-000088000000}"/>
    <hyperlink ref="F318" r:id="rId138" xr:uid="{00000000-0004-0000-0000-000089000000}"/>
    <hyperlink ref="G318" r:id="rId139" xr:uid="{00000000-0004-0000-0000-00008A000000}"/>
    <hyperlink ref="E319" r:id="rId140" xr:uid="{00000000-0004-0000-0000-00008B000000}"/>
    <hyperlink ref="F319" r:id="rId141" xr:uid="{00000000-0004-0000-0000-00008C000000}"/>
    <hyperlink ref="E320" r:id="rId142" xr:uid="{00000000-0004-0000-0000-00008D000000}"/>
    <hyperlink ref="E321" r:id="rId143" xr:uid="{00000000-0004-0000-0000-00008E000000}"/>
    <hyperlink ref="F321" r:id="rId144" xr:uid="{00000000-0004-0000-0000-00008F000000}"/>
    <hyperlink ref="E322" r:id="rId145" xr:uid="{00000000-0004-0000-0000-000090000000}"/>
    <hyperlink ref="E323" r:id="rId146" xr:uid="{00000000-0004-0000-0000-000091000000}"/>
    <hyperlink ref="E324" r:id="rId147" xr:uid="{00000000-0004-0000-0000-000092000000}"/>
    <hyperlink ref="F324" r:id="rId148" xr:uid="{00000000-0004-0000-0000-000093000000}"/>
    <hyperlink ref="E325" r:id="rId149" xr:uid="{00000000-0004-0000-0000-000094000000}"/>
    <hyperlink ref="F325" r:id="rId150" xr:uid="{00000000-0004-0000-0000-000095000000}"/>
    <hyperlink ref="E326" r:id="rId151" xr:uid="{00000000-0004-0000-0000-000096000000}"/>
    <hyperlink ref="F326" r:id="rId152" xr:uid="{00000000-0004-0000-0000-000097000000}"/>
    <hyperlink ref="E327" r:id="rId153" xr:uid="{00000000-0004-0000-0000-000098000000}"/>
    <hyperlink ref="E328" r:id="rId154" xr:uid="{00000000-0004-0000-0000-000099000000}"/>
    <hyperlink ref="E329" r:id="rId155" location="toc5278" xr:uid="{00000000-0004-0000-0000-00009A000000}"/>
    <hyperlink ref="F329" r:id="rId156" xr:uid="{00000000-0004-0000-0000-00009B000000}"/>
    <hyperlink ref="E330" r:id="rId157" xr:uid="{00000000-0004-0000-0000-00009C000000}"/>
    <hyperlink ref="F330" r:id="rId158" xr:uid="{00000000-0004-0000-0000-00009D000000}"/>
    <hyperlink ref="E331" r:id="rId159" xr:uid="{00000000-0004-0000-0000-00009E000000}"/>
    <hyperlink ref="E332" r:id="rId160" xr:uid="{00000000-0004-0000-0000-00009F000000}"/>
    <hyperlink ref="E333" r:id="rId161" xr:uid="{00000000-0004-0000-0000-0000A0000000}"/>
    <hyperlink ref="E334" r:id="rId162" xr:uid="{00000000-0004-0000-0000-0000A1000000}"/>
    <hyperlink ref="E335" r:id="rId163" xr:uid="{00000000-0004-0000-0000-0000A2000000}"/>
    <hyperlink ref="E336" r:id="rId164" xr:uid="{00000000-0004-0000-0000-0000A3000000}"/>
    <hyperlink ref="E337" r:id="rId165" xr:uid="{00000000-0004-0000-0000-0000A4000000}"/>
    <hyperlink ref="F337" r:id="rId166" xr:uid="{00000000-0004-0000-0000-0000A5000000}"/>
    <hyperlink ref="E338" r:id="rId167" xr:uid="{00000000-0004-0000-0000-0000A6000000}"/>
    <hyperlink ref="F338" r:id="rId168" xr:uid="{00000000-0004-0000-0000-0000A7000000}"/>
    <hyperlink ref="G338" r:id="rId169" xr:uid="{00000000-0004-0000-0000-0000A8000000}"/>
    <hyperlink ref="H338" r:id="rId170" xr:uid="{00000000-0004-0000-0000-0000A9000000}"/>
    <hyperlink ref="E339" r:id="rId171" xr:uid="{00000000-0004-0000-0000-0000AA000000}"/>
    <hyperlink ref="E340" r:id="rId172" xr:uid="{00000000-0004-0000-0000-0000AB000000}"/>
    <hyperlink ref="F340" r:id="rId173" xr:uid="{00000000-0004-0000-0000-0000AC000000}"/>
    <hyperlink ref="E341" r:id="rId174" xr:uid="{00000000-0004-0000-0000-0000AD000000}"/>
    <hyperlink ref="E342" r:id="rId175" xr:uid="{00000000-0004-0000-0000-0000AE000000}"/>
    <hyperlink ref="E343" r:id="rId176" xr:uid="{00000000-0004-0000-0000-0000AF000000}"/>
    <hyperlink ref="F343" r:id="rId177" xr:uid="{00000000-0004-0000-0000-0000B0000000}"/>
    <hyperlink ref="E344" r:id="rId178" xr:uid="{00000000-0004-0000-0000-0000B1000000}"/>
    <hyperlink ref="E345" r:id="rId179" xr:uid="{00000000-0004-0000-0000-0000B2000000}"/>
    <hyperlink ref="E346" r:id="rId180" xr:uid="{00000000-0004-0000-0000-0000B3000000}"/>
    <hyperlink ref="F346" r:id="rId181" xr:uid="{00000000-0004-0000-0000-0000B4000000}"/>
    <hyperlink ref="E347" r:id="rId182" xr:uid="{00000000-0004-0000-0000-0000B5000000}"/>
    <hyperlink ref="E348" r:id="rId183" xr:uid="{00000000-0004-0000-0000-0000B6000000}"/>
    <hyperlink ref="E349" r:id="rId184" xr:uid="{00000000-0004-0000-0000-0000B7000000}"/>
    <hyperlink ref="E350" r:id="rId185" xr:uid="{00000000-0004-0000-0000-0000B8000000}"/>
    <hyperlink ref="F350" r:id="rId186" xr:uid="{00000000-0004-0000-0000-0000B9000000}"/>
    <hyperlink ref="E351" r:id="rId187" xr:uid="{00000000-0004-0000-0000-0000BA000000}"/>
    <hyperlink ref="E352" r:id="rId188" xr:uid="{00000000-0004-0000-0000-0000BB000000}"/>
    <hyperlink ref="F352" r:id="rId189" xr:uid="{00000000-0004-0000-0000-0000BC000000}"/>
    <hyperlink ref="E353" r:id="rId190" xr:uid="{00000000-0004-0000-0000-0000BD000000}"/>
    <hyperlink ref="F353" r:id="rId191" xr:uid="{00000000-0004-0000-0000-0000BE000000}"/>
    <hyperlink ref="E354" r:id="rId192" xr:uid="{00000000-0004-0000-0000-0000BF000000}"/>
    <hyperlink ref="F354" r:id="rId193" xr:uid="{00000000-0004-0000-0000-0000C0000000}"/>
    <hyperlink ref="E355" r:id="rId194" xr:uid="{00000000-0004-0000-0000-0000C1000000}"/>
    <hyperlink ref="F355" r:id="rId195" xr:uid="{00000000-0004-0000-0000-0000C2000000}"/>
    <hyperlink ref="G355" r:id="rId196" xr:uid="{00000000-0004-0000-0000-0000C3000000}"/>
    <hyperlink ref="E356" r:id="rId197" xr:uid="{00000000-0004-0000-0000-0000C4000000}"/>
    <hyperlink ref="F356" r:id="rId198" xr:uid="{00000000-0004-0000-0000-0000C5000000}"/>
    <hyperlink ref="E357" r:id="rId199" location="usd21-million-series-a-and-new-ceo-for-leko-labs" xr:uid="{00000000-0004-0000-0000-0000C6000000}"/>
    <hyperlink ref="E358" r:id="rId200" xr:uid="{00000000-0004-0000-0000-0000C7000000}"/>
    <hyperlink ref="F358" r:id="rId201" xr:uid="{00000000-0004-0000-0000-0000C8000000}"/>
    <hyperlink ref="E359" r:id="rId202" xr:uid="{00000000-0004-0000-0000-0000C9000000}"/>
    <hyperlink ref="E360" r:id="rId203" xr:uid="{00000000-0004-0000-0000-0000CA000000}"/>
    <hyperlink ref="F360" r:id="rId204" xr:uid="{00000000-0004-0000-0000-0000CB000000}"/>
    <hyperlink ref="G360" r:id="rId205" xr:uid="{00000000-0004-0000-0000-0000CC000000}"/>
    <hyperlink ref="E361" r:id="rId206" xr:uid="{00000000-0004-0000-0000-0000CD000000}"/>
    <hyperlink ref="F361" r:id="rId207" xr:uid="{00000000-0004-0000-0000-0000CE000000}"/>
    <hyperlink ref="E362" r:id="rId208" xr:uid="{00000000-0004-0000-0000-0000CF000000}"/>
    <hyperlink ref="E363" r:id="rId209" xr:uid="{00000000-0004-0000-0000-0000D0000000}"/>
    <hyperlink ref="E364" r:id="rId210" xr:uid="{00000000-0004-0000-0000-0000D1000000}"/>
    <hyperlink ref="E365" r:id="rId211" xr:uid="{00000000-0004-0000-0000-0000D2000000}"/>
    <hyperlink ref="E366" r:id="rId212" xr:uid="{00000000-0004-0000-0000-0000D3000000}"/>
    <hyperlink ref="F366" r:id="rId213" xr:uid="{00000000-0004-0000-0000-0000D4000000}"/>
    <hyperlink ref="E367" r:id="rId214" xr:uid="{00000000-0004-0000-0000-0000D5000000}"/>
    <hyperlink ref="F367" r:id="rId215" xr:uid="{00000000-0004-0000-0000-0000D6000000}"/>
    <hyperlink ref="E368" r:id="rId216" xr:uid="{00000000-0004-0000-0000-0000D7000000}"/>
    <hyperlink ref="E369" r:id="rId217" xr:uid="{00000000-0004-0000-0000-0000D8000000}"/>
    <hyperlink ref="E370" r:id="rId218" xr:uid="{00000000-0004-0000-0000-0000D9000000}"/>
    <hyperlink ref="E371" r:id="rId219" xr:uid="{00000000-0004-0000-0000-0000DA000000}"/>
    <hyperlink ref="E372" r:id="rId220" xr:uid="{00000000-0004-0000-0000-0000DB000000}"/>
    <hyperlink ref="F372" r:id="rId221" xr:uid="{00000000-0004-0000-0000-0000DC000000}"/>
    <hyperlink ref="E373" r:id="rId222" xr:uid="{00000000-0004-0000-0000-0000DD000000}"/>
    <hyperlink ref="F373" r:id="rId223" xr:uid="{00000000-0004-0000-0000-0000DE000000}"/>
    <hyperlink ref="E374" r:id="rId224" xr:uid="{00000000-0004-0000-0000-0000DF000000}"/>
    <hyperlink ref="F374" r:id="rId225" xr:uid="{00000000-0004-0000-0000-0000E0000000}"/>
    <hyperlink ref="E375" r:id="rId226" xr:uid="{00000000-0004-0000-0000-0000E1000000}"/>
    <hyperlink ref="E376" r:id="rId227" xr:uid="{00000000-0004-0000-0000-0000E2000000}"/>
    <hyperlink ref="E377" r:id="rId228" xr:uid="{00000000-0004-0000-0000-0000E3000000}"/>
    <hyperlink ref="E378" r:id="rId229" xr:uid="{00000000-0004-0000-0000-0000E4000000}"/>
    <hyperlink ref="E379" r:id="rId230" xr:uid="{00000000-0004-0000-0000-0000E5000000}"/>
    <hyperlink ref="F379" r:id="rId231" xr:uid="{00000000-0004-0000-0000-0000E6000000}"/>
    <hyperlink ref="E380" r:id="rId232" xr:uid="{00000000-0004-0000-0000-0000E7000000}"/>
    <hyperlink ref="E381" r:id="rId233" xr:uid="{00000000-0004-0000-0000-0000E8000000}"/>
    <hyperlink ref="E382" r:id="rId234" xr:uid="{00000000-0004-0000-0000-0000E9000000}"/>
    <hyperlink ref="F382" r:id="rId235" xr:uid="{00000000-0004-0000-0000-0000EA000000}"/>
    <hyperlink ref="E383" r:id="rId236" xr:uid="{00000000-0004-0000-0000-0000EB000000}"/>
    <hyperlink ref="F383" r:id="rId237" xr:uid="{00000000-0004-0000-0000-0000EC000000}"/>
    <hyperlink ref="E384" r:id="rId238" xr:uid="{00000000-0004-0000-0000-0000ED000000}"/>
    <hyperlink ref="E385" r:id="rId239" xr:uid="{00000000-0004-0000-0000-0000EE000000}"/>
    <hyperlink ref="E386" r:id="rId240" xr:uid="{00000000-0004-0000-0000-0000EF000000}"/>
    <hyperlink ref="E387" r:id="rId241" xr:uid="{00000000-0004-0000-0000-0000F0000000}"/>
    <hyperlink ref="E388" r:id="rId242" xr:uid="{00000000-0004-0000-0000-0000F1000000}"/>
    <hyperlink ref="E389" r:id="rId243" xr:uid="{00000000-0004-0000-0000-0000F2000000}"/>
    <hyperlink ref="E390" r:id="rId244" xr:uid="{00000000-0004-0000-0000-0000F3000000}"/>
    <hyperlink ref="E391" r:id="rId245" xr:uid="{00000000-0004-0000-0000-0000F4000000}"/>
    <hyperlink ref="E392" r:id="rId246" xr:uid="{00000000-0004-0000-0000-0000F5000000}"/>
    <hyperlink ref="F392" r:id="rId247" xr:uid="{00000000-0004-0000-0000-0000F6000000}"/>
    <hyperlink ref="E393" r:id="rId248" xr:uid="{00000000-0004-0000-0000-0000F7000000}"/>
    <hyperlink ref="E394" r:id="rId249" xr:uid="{00000000-0004-0000-0000-0000F8000000}"/>
    <hyperlink ref="E395" r:id="rId250" xr:uid="{00000000-0004-0000-0000-0000F9000000}"/>
    <hyperlink ref="E396" r:id="rId251" xr:uid="{00000000-0004-0000-0000-0000FA000000}"/>
    <hyperlink ref="F396" r:id="rId252" xr:uid="{00000000-0004-0000-0000-0000FB000000}"/>
    <hyperlink ref="E397" r:id="rId253" xr:uid="{00000000-0004-0000-0000-0000FC000000}"/>
    <hyperlink ref="F397" r:id="rId254" xr:uid="{00000000-0004-0000-0000-0000FD000000}"/>
    <hyperlink ref="E398" r:id="rId255" xr:uid="{00000000-0004-0000-0000-0000FE000000}"/>
    <hyperlink ref="E399" r:id="rId256" xr:uid="{00000000-0004-0000-0000-0000FF000000}"/>
    <hyperlink ref="E400" r:id="rId257" xr:uid="{00000000-0004-0000-0000-000000010000}"/>
    <hyperlink ref="F400" r:id="rId258" xr:uid="{00000000-0004-0000-0000-000001010000}"/>
    <hyperlink ref="G400" r:id="rId259" xr:uid="{00000000-0004-0000-0000-000002010000}"/>
    <hyperlink ref="H400" r:id="rId260" xr:uid="{00000000-0004-0000-0000-000003010000}"/>
    <hyperlink ref="E401" r:id="rId261" xr:uid="{00000000-0004-0000-0000-000004010000}"/>
    <hyperlink ref="F401" r:id="rId262" xr:uid="{00000000-0004-0000-0000-000005010000}"/>
    <hyperlink ref="E402" r:id="rId263" xr:uid="{00000000-0004-0000-0000-000006010000}"/>
    <hyperlink ref="E403" r:id="rId264" xr:uid="{00000000-0004-0000-0000-000007010000}"/>
    <hyperlink ref="E404" r:id="rId265" xr:uid="{00000000-0004-0000-0000-000008010000}"/>
    <hyperlink ref="E405" r:id="rId266" xr:uid="{00000000-0004-0000-0000-000009010000}"/>
    <hyperlink ref="F405" r:id="rId267" xr:uid="{00000000-0004-0000-0000-00000A010000}"/>
    <hyperlink ref="E406" r:id="rId268" xr:uid="{00000000-0004-0000-0000-00000B010000}"/>
    <hyperlink ref="E407" r:id="rId269" xr:uid="{00000000-0004-0000-0000-00000C010000}"/>
    <hyperlink ref="E408" r:id="rId270" xr:uid="{00000000-0004-0000-0000-00000D010000}"/>
    <hyperlink ref="E409" r:id="rId271" xr:uid="{00000000-0004-0000-0000-00000E010000}"/>
    <hyperlink ref="F409" r:id="rId272" xr:uid="{00000000-0004-0000-0000-00000F010000}"/>
    <hyperlink ref="E410" r:id="rId273" xr:uid="{00000000-0004-0000-0000-000010010000}"/>
    <hyperlink ref="E411" r:id="rId274" xr:uid="{00000000-0004-0000-0000-000011010000}"/>
    <hyperlink ref="E412" r:id="rId275" xr:uid="{00000000-0004-0000-0000-000012010000}"/>
    <hyperlink ref="F412" r:id="rId276" xr:uid="{00000000-0004-0000-0000-000013010000}"/>
    <hyperlink ref="G412" r:id="rId277" xr:uid="{00000000-0004-0000-0000-000014010000}"/>
    <hyperlink ref="E413" r:id="rId278" xr:uid="{00000000-0004-0000-0000-000015010000}"/>
    <hyperlink ref="E414" r:id="rId279" xr:uid="{00000000-0004-0000-0000-000016010000}"/>
    <hyperlink ref="F414" r:id="rId280" xr:uid="{00000000-0004-0000-0000-000017010000}"/>
    <hyperlink ref="E415" r:id="rId281" xr:uid="{00000000-0004-0000-0000-000018010000}"/>
    <hyperlink ref="E416" r:id="rId282" xr:uid="{00000000-0004-0000-0000-000019010000}"/>
    <hyperlink ref="F416" r:id="rId283" xr:uid="{00000000-0004-0000-0000-00001A010000}"/>
    <hyperlink ref="E417" r:id="rId284" xr:uid="{00000000-0004-0000-0000-00001B010000}"/>
    <hyperlink ref="F417" r:id="rId285" xr:uid="{00000000-0004-0000-0000-00001C010000}"/>
    <hyperlink ref="E418" r:id="rId286" xr:uid="{00000000-0004-0000-0000-00001D010000}"/>
    <hyperlink ref="E419" r:id="rId287" xr:uid="{00000000-0004-0000-0000-00001E010000}"/>
    <hyperlink ref="F419" r:id="rId288" xr:uid="{00000000-0004-0000-0000-00001F010000}"/>
    <hyperlink ref="E420" r:id="rId289" xr:uid="{00000000-0004-0000-0000-000020010000}"/>
    <hyperlink ref="F420" r:id="rId290" xr:uid="{00000000-0004-0000-0000-000021010000}"/>
    <hyperlink ref="E421" r:id="rId291" xr:uid="{00000000-0004-0000-0000-000022010000}"/>
    <hyperlink ref="F421" r:id="rId292" xr:uid="{00000000-0004-0000-0000-000023010000}"/>
    <hyperlink ref="E422" r:id="rId293" xr:uid="{00000000-0004-0000-0000-000024010000}"/>
    <hyperlink ref="E423" r:id="rId294" xr:uid="{00000000-0004-0000-0000-000025010000}"/>
    <hyperlink ref="F423" r:id="rId295" xr:uid="{00000000-0004-0000-0000-000026010000}"/>
    <hyperlink ref="E424" r:id="rId296" xr:uid="{00000000-0004-0000-0000-000027010000}"/>
    <hyperlink ref="E425" r:id="rId297" xr:uid="{00000000-0004-0000-0000-000028010000}"/>
    <hyperlink ref="F425" r:id="rId298" xr:uid="{00000000-0004-0000-0000-000029010000}"/>
    <hyperlink ref="E426" r:id="rId299" xr:uid="{00000000-0004-0000-0000-00002A010000}"/>
    <hyperlink ref="F426" r:id="rId300" xr:uid="{00000000-0004-0000-0000-00002B010000}"/>
    <hyperlink ref="E427" r:id="rId301" xr:uid="{00000000-0004-0000-0000-00002C010000}"/>
    <hyperlink ref="F427" r:id="rId302" xr:uid="{00000000-0004-0000-0000-00002D010000}"/>
    <hyperlink ref="E428" r:id="rId303" xr:uid="{00000000-0004-0000-0000-00002E010000}"/>
    <hyperlink ref="E429" r:id="rId304" xr:uid="{00000000-0004-0000-0000-00002F010000}"/>
    <hyperlink ref="F429" r:id="rId305" xr:uid="{00000000-0004-0000-0000-000030010000}"/>
    <hyperlink ref="E430" r:id="rId306" xr:uid="{00000000-0004-0000-0000-000031010000}"/>
    <hyperlink ref="F430" r:id="rId307" xr:uid="{00000000-0004-0000-0000-000032010000}"/>
    <hyperlink ref="E431" r:id="rId308" xr:uid="{00000000-0004-0000-0000-000033010000}"/>
    <hyperlink ref="E432" r:id="rId309" xr:uid="{00000000-0004-0000-0000-000034010000}"/>
    <hyperlink ref="F432" r:id="rId310" xr:uid="{00000000-0004-0000-0000-000035010000}"/>
    <hyperlink ref="G432" r:id="rId311" xr:uid="{00000000-0004-0000-0000-000036010000}"/>
    <hyperlink ref="E433" r:id="rId312" xr:uid="{00000000-0004-0000-0000-000037010000}"/>
    <hyperlink ref="F433" r:id="rId313" xr:uid="{00000000-0004-0000-0000-000038010000}"/>
    <hyperlink ref="E434" r:id="rId314" xr:uid="{00000000-0004-0000-0000-000039010000}"/>
    <hyperlink ref="E435" r:id="rId315" xr:uid="{00000000-0004-0000-0000-00003A010000}"/>
    <hyperlink ref="E436" r:id="rId316" xr:uid="{00000000-0004-0000-0000-00003B010000}"/>
    <hyperlink ref="F436" r:id="rId317" xr:uid="{00000000-0004-0000-0000-00003C010000}"/>
    <hyperlink ref="E437" r:id="rId318" xr:uid="{00000000-0004-0000-0000-00003D010000}"/>
    <hyperlink ref="E438" r:id="rId319" xr:uid="{00000000-0004-0000-0000-00003E010000}"/>
    <hyperlink ref="E439" r:id="rId320" xr:uid="{00000000-0004-0000-0000-00003F010000}"/>
    <hyperlink ref="E440" r:id="rId321" xr:uid="{00000000-0004-0000-0000-000040010000}"/>
    <hyperlink ref="E441" r:id="rId322" xr:uid="{00000000-0004-0000-0000-000041010000}"/>
    <hyperlink ref="E442" r:id="rId323" xr:uid="{00000000-0004-0000-0000-000042010000}"/>
    <hyperlink ref="E443" r:id="rId324" xr:uid="{00000000-0004-0000-0000-000043010000}"/>
    <hyperlink ref="E444" r:id="rId325" xr:uid="{00000000-0004-0000-0000-000044010000}"/>
    <hyperlink ref="F444" r:id="rId326" xr:uid="{00000000-0004-0000-0000-000045010000}"/>
    <hyperlink ref="E445" r:id="rId327" xr:uid="{00000000-0004-0000-0000-000046010000}"/>
    <hyperlink ref="E446" r:id="rId328" xr:uid="{00000000-0004-0000-0000-000047010000}"/>
    <hyperlink ref="E447" r:id="rId329" xr:uid="{00000000-0004-0000-0000-000048010000}"/>
    <hyperlink ref="E448" r:id="rId330" xr:uid="{00000000-0004-0000-0000-000049010000}"/>
    <hyperlink ref="E449" r:id="rId331" xr:uid="{00000000-0004-0000-0000-00004A010000}"/>
    <hyperlink ref="E450" r:id="rId332" xr:uid="{00000000-0004-0000-0000-00004B010000}"/>
    <hyperlink ref="E451" r:id="rId333" xr:uid="{00000000-0004-0000-0000-00004C010000}"/>
    <hyperlink ref="F451" r:id="rId334" xr:uid="{00000000-0004-0000-0000-00004D010000}"/>
    <hyperlink ref="E452" r:id="rId335" xr:uid="{00000000-0004-0000-0000-00004E010000}"/>
    <hyperlink ref="E453" r:id="rId336" xr:uid="{00000000-0004-0000-0000-00004F010000}"/>
    <hyperlink ref="E454" r:id="rId337" xr:uid="{00000000-0004-0000-0000-000050010000}"/>
    <hyperlink ref="F454" r:id="rId338" xr:uid="{00000000-0004-0000-0000-000051010000}"/>
    <hyperlink ref="E455" r:id="rId339" xr:uid="{00000000-0004-0000-0000-000052010000}"/>
    <hyperlink ref="E457" r:id="rId340" location="transforming-closets" xr:uid="{00000000-0004-0000-0000-000053010000}"/>
    <hyperlink ref="F457" r:id="rId341" xr:uid="{00000000-0004-0000-0000-000054010000}"/>
    <hyperlink ref="G457" r:id="rId342" xr:uid="{00000000-0004-0000-0000-000055010000}"/>
    <hyperlink ref="E458" r:id="rId343" xr:uid="{00000000-0004-0000-0000-000056010000}"/>
    <hyperlink ref="F458" r:id="rId344" xr:uid="{00000000-0004-0000-0000-000057010000}"/>
    <hyperlink ref="E459" r:id="rId345" xr:uid="{00000000-0004-0000-0000-000058010000}"/>
    <hyperlink ref="E460" r:id="rId346" xr:uid="{00000000-0004-0000-0000-000059010000}"/>
    <hyperlink ref="E461" r:id="rId347" xr:uid="{00000000-0004-0000-0000-00005A010000}"/>
    <hyperlink ref="E462" r:id="rId348" xr:uid="{00000000-0004-0000-0000-00005B010000}"/>
    <hyperlink ref="E463" r:id="rId349" xr:uid="{00000000-0004-0000-0000-00005C010000}"/>
    <hyperlink ref="E464" r:id="rId350" xr:uid="{00000000-0004-0000-0000-00005D010000}"/>
    <hyperlink ref="F464" r:id="rId351" xr:uid="{00000000-0004-0000-0000-00005E010000}"/>
    <hyperlink ref="E465" r:id="rId352" xr:uid="{00000000-0004-0000-0000-00005F010000}"/>
    <hyperlink ref="E466" r:id="rId353" xr:uid="{00000000-0004-0000-0000-000060010000}"/>
    <hyperlink ref="F466" r:id="rId354" xr:uid="{00000000-0004-0000-0000-000061010000}"/>
    <hyperlink ref="E467" r:id="rId355" xr:uid="{00000000-0004-0000-0000-000062010000}"/>
    <hyperlink ref="E468" r:id="rId356" xr:uid="{00000000-0004-0000-0000-000063010000}"/>
    <hyperlink ref="F468" r:id="rId357" xr:uid="{00000000-0004-0000-0000-000064010000}"/>
    <hyperlink ref="E469" r:id="rId358" xr:uid="{00000000-0004-0000-0000-000065010000}"/>
    <hyperlink ref="E470" r:id="rId359" xr:uid="{00000000-0004-0000-0000-000066010000}"/>
    <hyperlink ref="F470" r:id="rId360" xr:uid="{00000000-0004-0000-0000-000067010000}"/>
    <hyperlink ref="H470" r:id="rId361" xr:uid="{00000000-0004-0000-0000-000068010000}"/>
    <hyperlink ref="I470" r:id="rId362" xr:uid="{00000000-0004-0000-0000-000069010000}"/>
    <hyperlink ref="E471" r:id="rId363" xr:uid="{00000000-0004-0000-0000-00006A010000}"/>
    <hyperlink ref="F471" r:id="rId364" xr:uid="{00000000-0004-0000-0000-00006B010000}"/>
    <hyperlink ref="E472" r:id="rId365" xr:uid="{00000000-0004-0000-0000-00006C010000}"/>
    <hyperlink ref="E473" r:id="rId366" xr:uid="{00000000-0004-0000-0000-00006D010000}"/>
    <hyperlink ref="F473" r:id="rId367" xr:uid="{00000000-0004-0000-0000-00006E010000}"/>
    <hyperlink ref="E474" r:id="rId368" xr:uid="{00000000-0004-0000-0000-00006F010000}"/>
    <hyperlink ref="F474" r:id="rId369" xr:uid="{00000000-0004-0000-0000-000070010000}"/>
    <hyperlink ref="E475" r:id="rId370" xr:uid="{00000000-0004-0000-0000-000071010000}"/>
    <hyperlink ref="E476" r:id="rId371" xr:uid="{00000000-0004-0000-0000-000072010000}"/>
    <hyperlink ref="E477" r:id="rId372" xr:uid="{00000000-0004-0000-0000-000073010000}"/>
    <hyperlink ref="E478" r:id="rId373" xr:uid="{00000000-0004-0000-0000-000074010000}"/>
    <hyperlink ref="E479" r:id="rId374" xr:uid="{00000000-0004-0000-0000-000075010000}"/>
    <hyperlink ref="F479" r:id="rId375" xr:uid="{00000000-0004-0000-0000-000076010000}"/>
    <hyperlink ref="E480" r:id="rId376" xr:uid="{00000000-0004-0000-0000-000077010000}"/>
    <hyperlink ref="E481" r:id="rId377" xr:uid="{00000000-0004-0000-0000-000078010000}"/>
    <hyperlink ref="F481" r:id="rId378" xr:uid="{00000000-0004-0000-0000-000079010000}"/>
    <hyperlink ref="E482" r:id="rId379" xr:uid="{00000000-0004-0000-0000-00007A010000}"/>
    <hyperlink ref="F482" r:id="rId380" xr:uid="{00000000-0004-0000-0000-00007B010000}"/>
    <hyperlink ref="E483" r:id="rId381" xr:uid="{00000000-0004-0000-0000-00007C010000}"/>
    <hyperlink ref="F483" r:id="rId382" xr:uid="{00000000-0004-0000-0000-00007D010000}"/>
    <hyperlink ref="G483" r:id="rId383" xr:uid="{00000000-0004-0000-0000-00007E010000}"/>
    <hyperlink ref="E484" r:id="rId384" xr:uid="{00000000-0004-0000-0000-00007F010000}"/>
    <hyperlink ref="E485" r:id="rId385" xr:uid="{00000000-0004-0000-0000-000080010000}"/>
    <hyperlink ref="F485" r:id="rId386" xr:uid="{00000000-0004-0000-0000-000081010000}"/>
    <hyperlink ref="G485" r:id="rId387" xr:uid="{00000000-0004-0000-0000-000082010000}"/>
    <hyperlink ref="E486" r:id="rId388" xr:uid="{00000000-0004-0000-0000-000083010000}"/>
    <hyperlink ref="E487" r:id="rId389" xr:uid="{00000000-0004-0000-0000-000084010000}"/>
    <hyperlink ref="E488" r:id="rId390" xr:uid="{00000000-0004-0000-0000-000085010000}"/>
    <hyperlink ref="E489" r:id="rId391" xr:uid="{00000000-0004-0000-0000-000086010000}"/>
    <hyperlink ref="F489" r:id="rId392" xr:uid="{00000000-0004-0000-0000-000087010000}"/>
    <hyperlink ref="E490" r:id="rId393" xr:uid="{00000000-0004-0000-0000-000088010000}"/>
    <hyperlink ref="F490" r:id="rId394" xr:uid="{00000000-0004-0000-0000-000089010000}"/>
    <hyperlink ref="E491" r:id="rId395" xr:uid="{00000000-0004-0000-0000-00008A010000}"/>
    <hyperlink ref="E492" r:id="rId396" xr:uid="{00000000-0004-0000-0000-00008B010000}"/>
    <hyperlink ref="E493" r:id="rId397" xr:uid="{00000000-0004-0000-0000-00008C010000}"/>
    <hyperlink ref="E494" r:id="rId398" xr:uid="{00000000-0004-0000-0000-00008D010000}"/>
    <hyperlink ref="F494" r:id="rId399" xr:uid="{00000000-0004-0000-0000-00008E010000}"/>
    <hyperlink ref="E495" r:id="rId400" xr:uid="{00000000-0004-0000-0000-00008F010000}"/>
    <hyperlink ref="F495" r:id="rId401" xr:uid="{00000000-0004-0000-0000-000090010000}"/>
    <hyperlink ref="E496" r:id="rId402" xr:uid="{00000000-0004-0000-0000-000091010000}"/>
    <hyperlink ref="F496" r:id="rId403" xr:uid="{00000000-0004-0000-0000-000092010000}"/>
    <hyperlink ref="E497" r:id="rId404" xr:uid="{00000000-0004-0000-0000-000093010000}"/>
    <hyperlink ref="E498" r:id="rId405" xr:uid="{00000000-0004-0000-0000-000094010000}"/>
    <hyperlink ref="E499" r:id="rId406" xr:uid="{00000000-0004-0000-0000-000095010000}"/>
    <hyperlink ref="F499" r:id="rId407" xr:uid="{00000000-0004-0000-0000-000096010000}"/>
    <hyperlink ref="E500" r:id="rId408" xr:uid="{00000000-0004-0000-0000-000097010000}"/>
    <hyperlink ref="F500" r:id="rId409" xr:uid="{00000000-0004-0000-0000-000098010000}"/>
    <hyperlink ref="E501" r:id="rId410" xr:uid="{00000000-0004-0000-0000-000099010000}"/>
    <hyperlink ref="E502" r:id="rId411" xr:uid="{00000000-0004-0000-0000-00009A010000}"/>
    <hyperlink ref="E503" r:id="rId412" xr:uid="{00000000-0004-0000-0000-00009B010000}"/>
    <hyperlink ref="E504" r:id="rId413" xr:uid="{00000000-0004-0000-0000-00009C010000}"/>
    <hyperlink ref="E505" r:id="rId414" xr:uid="{00000000-0004-0000-0000-00009D010000}"/>
    <hyperlink ref="F505" r:id="rId415" xr:uid="{00000000-0004-0000-0000-00009E010000}"/>
    <hyperlink ref="E506" r:id="rId416" xr:uid="{00000000-0004-0000-0000-00009F010000}"/>
    <hyperlink ref="F506" r:id="rId417" xr:uid="{00000000-0004-0000-0000-0000A0010000}"/>
    <hyperlink ref="E507" r:id="rId418" xr:uid="{00000000-0004-0000-0000-0000A1010000}"/>
    <hyperlink ref="F507" r:id="rId419" xr:uid="{00000000-0004-0000-0000-0000A2010000}"/>
  </hyperlinks>
  <pageMargins left="0.7" right="0.7" top="0.75" bottom="0.75" header="0.3" footer="0.3"/>
  <pageSetup paperSize="9" scale="52" fitToHeight="0" orientation="landscape" r:id="rId42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All Stories</vt:lpstr>
      <vt:lpstr>'All Stories'!Print_Area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Schosseler</dc:creator>
  <cp:lastModifiedBy>Paul Schosseler</cp:lastModifiedBy>
  <cp:lastPrinted>2024-01-09T16:52:01Z</cp:lastPrinted>
  <dcterms:created xsi:type="dcterms:W3CDTF">2024-01-09T16:48:00Z</dcterms:created>
  <dcterms:modified xsi:type="dcterms:W3CDTF">2024-01-09T16:52:48Z</dcterms:modified>
</cp:coreProperties>
</file>